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odd\Documents\"/>
    </mc:Choice>
  </mc:AlternateContent>
  <xr:revisionPtr revIDLastSave="0" documentId="8_{867ADE10-65F5-47CD-BEA4-1C06628BC6BD}" xr6:coauthVersionLast="46" xr6:coauthVersionMax="46" xr10:uidLastSave="{00000000-0000-0000-0000-000000000000}"/>
  <bookViews>
    <workbookView xWindow="-23760" yWindow="2070" windowWidth="28800" windowHeight="11385" tabRatio="601" firstSheet="8" activeTab="11" xr2:uid="{00000000-000D-0000-FFFF-FFFF00000000}"/>
  </bookViews>
  <sheets>
    <sheet name="July" sheetId="1" r:id="rId1"/>
    <sheet name="August" sheetId="2" r:id="rId2"/>
    <sheet name="September" sheetId="3" r:id="rId3"/>
    <sheet name="October" sheetId="4" r:id="rId4"/>
    <sheet name="November" sheetId="5" r:id="rId5"/>
    <sheet name="December" sheetId="6" r:id="rId6"/>
    <sheet name="January" sheetId="7" r:id="rId7"/>
    <sheet name="February" sheetId="8" r:id="rId8"/>
    <sheet name="March" sheetId="9" r:id="rId9"/>
    <sheet name="April" sheetId="10" r:id="rId10"/>
    <sheet name="May" sheetId="11" r:id="rId11"/>
    <sheet name="June" sheetId="12" r:id="rId12"/>
    <sheet name="Cumulative" sheetId="13" r:id="rId13"/>
    <sheet name="Hospital Input Page" sheetId="14" r:id="rId14"/>
    <sheet name="Physician Visits Input Page" sheetId="15" r:id="rId15"/>
    <sheet name="Physician Minutes Input Page" sheetId="18" r:id="rId16"/>
    <sheet name="Hospital Relative Exp" sheetId="17" r:id="rId17"/>
    <sheet name="Physician Types" sheetId="16" r:id="rId18"/>
  </sheets>
  <externalReferences>
    <externalReference r:id="rId19"/>
    <externalReference r:id="rId20"/>
  </externalReferences>
  <definedNames>
    <definedName name="Hospital_Exposure_April">'Hospital Input Page'!$O$9:$O$22</definedName>
    <definedName name="Hospital_Exposure_August">'Hospital Input Page'!$G$9:$G$22</definedName>
    <definedName name="Hospital_Exposure_December">'Hospital Input Page'!$K$9:$K$22</definedName>
    <definedName name="Hospital_Exposure_December2">'[1]Hospital Input Page'!$K$9:$K$25</definedName>
    <definedName name="Hospital_Exposure_February">'Hospital Input Page'!$M$9:$M$22</definedName>
    <definedName name="Hospital_Exposure_January">'Hospital Input Page'!$L$9:$L$22</definedName>
    <definedName name="Hospital_Exposure_July">'Hospital Input Page'!$F$9:$F$22</definedName>
    <definedName name="Hospital_Exposure_June">'Hospital Input Page'!$Q$9:$Q$22</definedName>
    <definedName name="Hospital_Exposure_March">'Hospital Input Page'!$N$9:$N$22</definedName>
    <definedName name="Hospital_Exposure_May">'Hospital Input Page'!$P$9:$P$22</definedName>
    <definedName name="Hospital_Exposure_Name">'Hospital Input Page'!$B$9:$B$22</definedName>
    <definedName name="Hospital_Exposure_November">'Hospital Input Page'!$J$9:$J$22</definedName>
    <definedName name="Hospital_Exposure_October">'Hospital Input Page'!$I$9:$I$22</definedName>
    <definedName name="Hospital_Exposure_Rate">'Hospital Input Page'!$D$9:$D$22</definedName>
    <definedName name="Hospital_Exposure_September">'Hospital Input Page'!$H$9:$H$22</definedName>
    <definedName name="Independent_Contractor_Minutes">'Physician Minutes Input Page'!$D$9:$D$70</definedName>
    <definedName name="Independent_Contractor_Visits">'Physician Visits Input Page'!$D$10:$D$71</definedName>
    <definedName name="Physician_Minutes_April">'Physician Minutes Input Page'!$P$9:$P$70</definedName>
    <definedName name="Physician_Minutes_August">'Physician Minutes Input Page'!$H$9:$H$70</definedName>
    <definedName name="Physician_Minutes_December">'Physician Minutes Input Page'!$L$9:$L$70</definedName>
    <definedName name="Physician_Minutes_February">'Physician Minutes Input Page'!$N$9:$N$70</definedName>
    <definedName name="Physician_Minutes_Ind_Contract">'Physician Minutes Input Page'!$D$9:$D$70</definedName>
    <definedName name="Physician_Minutes_January">'Physician Minutes Input Page'!$M$9:$M$70</definedName>
    <definedName name="Physician_Minutes_July">'Physician Minutes Input Page'!$G$9:$G$70</definedName>
    <definedName name="Physician_Minutes_June">'Physician Minutes Input Page'!$R$9:$R$70</definedName>
    <definedName name="Physician_Minutes_March">'Physician Minutes Input Page'!$O$9:$O$70</definedName>
    <definedName name="Physician_Minutes_May">'Physician Minutes Input Page'!$Q$9:$Q$70</definedName>
    <definedName name="Physician_Minutes_Name">'Physician Minutes Input Page'!$A$9:$A$70</definedName>
    <definedName name="Physician_Minutes_November">'Physician Minutes Input Page'!$K$9:$K$70</definedName>
    <definedName name="Physician_Minutes_October">'Physician Minutes Input Page'!$J$9:$J$70</definedName>
    <definedName name="Physician_Minutes_Practice">'Physician Minutes Input Page'!$C$9:$C$70</definedName>
    <definedName name="Physician_Minutes_September">'Physician Minutes Input Page'!$I$9:$I$70</definedName>
    <definedName name="Physician_Type_Bed_Rate">'Physician Types'!$E$9:$E$72</definedName>
    <definedName name="Physician_Type_FTE_Minutes">'Physician Types'!$I$9:$I$72</definedName>
    <definedName name="Physician_Type_Hospitalists_Visit_Minutes">'Physician Types'!$G$9:$G$72</definedName>
    <definedName name="Physician_Type_Practice">'Physician Types'!$C$9:$C$78</definedName>
    <definedName name="Physician_Type_Visit_Minutes">'Physician Types'!$F$9:$F$72</definedName>
    <definedName name="Physician_Visit_April">'Physician Visits Input Page'!$Q$10:$Q$71</definedName>
    <definedName name="Physician_Visit_August">'Physician Visits Input Page'!$I$10:$I$71</definedName>
    <definedName name="Physician_Visit_December">'Physician Visits Input Page'!$M$10:$M$71</definedName>
    <definedName name="Physician_Visit_February">'Physician Visits Input Page'!$O$10:$O$71</definedName>
    <definedName name="Physician_Visit_Hospitalists">'Physician Visits Input Page'!$F$10:$F$71</definedName>
    <definedName name="Physician_Visit_Ind_Contract">'Physician Visits Input Page'!$D$10:$D$71</definedName>
    <definedName name="Physician_Visit_January">'Physician Visits Input Page'!$N$10:$N$71</definedName>
    <definedName name="Physician_Visit_July">'Physician Visits Input Page'!$H$10:$H$71</definedName>
    <definedName name="Physician_Visit_June">'Physician Visits Input Page'!$S$10:$S$71</definedName>
    <definedName name="Physician_Visit_March">'Physician Visits Input Page'!$P$10:$P$71</definedName>
    <definedName name="Physician_Visit_May">'Physician Visits Input Page'!$R$10:$R$71</definedName>
    <definedName name="Physician_Visit_Name">'Physician Visits Input Page'!$A$10:$A$71</definedName>
    <definedName name="Physician_Visit_November">'Physician Visits Input Page'!$L$10:$L$71</definedName>
    <definedName name="Physician_Visit_October">'Physician Visits Input Page'!$K$10:$K$71</definedName>
    <definedName name="Physician_Visit_Practice">'Physician Visits Input Page'!$C$10:$C$71</definedName>
    <definedName name="Physician_Visit_September">'Physician Visits Input Page'!$J$10:$J$71</definedName>
    <definedName name="Phyusician_Visit_September">'Physician Visits Input Page'!$J$10:$J$71</definedName>
    <definedName name="_xlnm.Print_Area" localSheetId="9">April!$A$1:$F$39</definedName>
    <definedName name="_xlnm.Print_Area" localSheetId="1">August!$A$1:$F$39</definedName>
    <definedName name="_xlnm.Print_Area" localSheetId="12">Cumulative!$A$1:$F$37</definedName>
    <definedName name="_xlnm.Print_Area" localSheetId="5">December!$A$1:$F$39</definedName>
    <definedName name="_xlnm.Print_Area" localSheetId="7">February!$A$1:$F$39</definedName>
    <definedName name="_xlnm.Print_Area" localSheetId="6">January!$A$1:$F$39</definedName>
    <definedName name="_xlnm.Print_Area" localSheetId="0">July!$A$1:$F$39</definedName>
    <definedName name="_xlnm.Print_Area" localSheetId="11">June!$A$1:$F$39</definedName>
    <definedName name="_xlnm.Print_Area" localSheetId="8">March!$A$1:$F$39</definedName>
    <definedName name="_xlnm.Print_Area" localSheetId="10">May!$A$1:$F$39</definedName>
    <definedName name="_xlnm.Print_Area" localSheetId="4">November!$A$1:$F$39</definedName>
    <definedName name="_xlnm.Print_Area" localSheetId="3">October!$A$1:$F$39</definedName>
    <definedName name="_xlnm.Print_Area" localSheetId="2">September!$A$1:$F$39</definedName>
    <definedName name="Z_4B7E793F_FF7C_4BA4_8EC7_9B719AA3D607_.wvu.PrintArea" localSheetId="9" hidden="1">April!$A$1:$F$50</definedName>
    <definedName name="Z_4B7E793F_FF7C_4BA4_8EC7_9B719AA3D607_.wvu.PrintArea" localSheetId="1" hidden="1">August!$A$1:$F$37</definedName>
    <definedName name="Z_4B7E793F_FF7C_4BA4_8EC7_9B719AA3D607_.wvu.PrintArea" localSheetId="12" hidden="1">Cumulative!$A$1:$F$46</definedName>
    <definedName name="Z_4B7E793F_FF7C_4BA4_8EC7_9B719AA3D607_.wvu.PrintArea" localSheetId="5" hidden="1">December!$A$1:$F$48</definedName>
    <definedName name="Z_4B7E793F_FF7C_4BA4_8EC7_9B719AA3D607_.wvu.PrintArea" localSheetId="7" hidden="1">February!$A$1:$F$51</definedName>
    <definedName name="Z_4B7E793F_FF7C_4BA4_8EC7_9B719AA3D607_.wvu.PrintArea" localSheetId="6" hidden="1">January!$A$1:$F$51</definedName>
    <definedName name="Z_4B7E793F_FF7C_4BA4_8EC7_9B719AA3D607_.wvu.PrintArea" localSheetId="0" hidden="1">July!$A$1:$E$40</definedName>
    <definedName name="Z_4B7E793F_FF7C_4BA4_8EC7_9B719AA3D607_.wvu.PrintArea" localSheetId="11" hidden="1">June!$A$1:$F$130</definedName>
    <definedName name="Z_4B7E793F_FF7C_4BA4_8EC7_9B719AA3D607_.wvu.PrintArea" localSheetId="8" hidden="1">March!$A$1:$F$51</definedName>
    <definedName name="Z_4B7E793F_FF7C_4BA4_8EC7_9B719AA3D607_.wvu.PrintArea" localSheetId="10" hidden="1">May!$A$1:$F$50</definedName>
    <definedName name="Z_4B7E793F_FF7C_4BA4_8EC7_9B719AA3D607_.wvu.PrintArea" localSheetId="4" hidden="1">November!$A$1:$F$48</definedName>
    <definedName name="Z_4B7E793F_FF7C_4BA4_8EC7_9B719AA3D607_.wvu.PrintArea" localSheetId="3" hidden="1">October!$A$1:$F$48</definedName>
    <definedName name="Z_4B7E793F_FF7C_4BA4_8EC7_9B719AA3D607_.wvu.PrintArea" localSheetId="2" hidden="1">September!$A$1:$F$48</definedName>
  </definedNames>
  <calcPr calcId="191029"/>
  <customWorkbookViews>
    <customWorkbookView name="Robin - Personal View" guid="{4B7E793F-FF7C-4BA4-8EC7-9B719AA3D607}" mergeInterval="0" personalView="1" maximized="1" xWindow="-9" yWindow="-9" windowWidth="1938" windowHeight="1168" tabRatio="601" activeSheetId="14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" i="6" l="1"/>
  <c r="D1" i="5"/>
  <c r="D1" i="4"/>
  <c r="D1" i="3"/>
  <c r="D1" i="2"/>
  <c r="D1" i="1"/>
  <c r="C22" i="17" l="1"/>
  <c r="L6" i="14"/>
  <c r="A1" i="5"/>
  <c r="E1" i="13" l="1"/>
  <c r="D1" i="9"/>
  <c r="D1" i="12"/>
  <c r="D1" i="8"/>
  <c r="D1" i="11"/>
  <c r="D1" i="7"/>
  <c r="D1" i="10"/>
  <c r="M6" i="18"/>
  <c r="G6" i="18"/>
  <c r="E7" i="16" l="1"/>
  <c r="A3" i="15" l="1"/>
  <c r="A3" i="18" l="1"/>
  <c r="E73" i="16" l="1"/>
  <c r="I73" i="16"/>
  <c r="E74" i="16"/>
  <c r="I74" i="16"/>
  <c r="E75" i="16"/>
  <c r="I75" i="16"/>
  <c r="E76" i="16"/>
  <c r="I76" i="16"/>
  <c r="E77" i="16"/>
  <c r="I77" i="16"/>
  <c r="E78" i="16"/>
  <c r="I78" i="16"/>
  <c r="I72" i="16"/>
  <c r="H116" i="12" a="1"/>
  <c r="H116" i="12" s="1"/>
  <c r="I116" i="12" s="1"/>
  <c r="E115" i="12"/>
  <c r="J115" i="12" s="1"/>
  <c r="C114" i="12"/>
  <c r="D114" i="12" s="1"/>
  <c r="E113" i="12"/>
  <c r="J113" i="12" s="1"/>
  <c r="H116" i="11" a="1"/>
  <c r="H116" i="11" s="1"/>
  <c r="I116" i="11" s="1"/>
  <c r="E115" i="11"/>
  <c r="J115" i="11" s="1"/>
  <c r="C114" i="11"/>
  <c r="D114" i="11" s="1"/>
  <c r="C113" i="11"/>
  <c r="D113" i="11" s="1"/>
  <c r="H116" i="10" a="1"/>
  <c r="H116" i="10" s="1"/>
  <c r="I116" i="10" s="1"/>
  <c r="E115" i="10"/>
  <c r="J115" i="10" s="1"/>
  <c r="C114" i="10"/>
  <c r="D114" i="10" s="1"/>
  <c r="E113" i="10"/>
  <c r="J113" i="10" s="1"/>
  <c r="H116" i="9" a="1"/>
  <c r="H116" i="9" s="1"/>
  <c r="I116" i="9" s="1"/>
  <c r="E115" i="9"/>
  <c r="J115" i="9" s="1"/>
  <c r="E114" i="9"/>
  <c r="J114" i="9" s="1"/>
  <c r="C113" i="9"/>
  <c r="D113" i="9" s="1"/>
  <c r="H116" i="8" a="1"/>
  <c r="H116" i="8" s="1"/>
  <c r="I116" i="8" s="1"/>
  <c r="E115" i="8"/>
  <c r="J115" i="8" s="1"/>
  <c r="C114" i="8" a="1"/>
  <c r="C114" i="8" s="1"/>
  <c r="D114" i="8" s="1"/>
  <c r="H113" i="8" a="1"/>
  <c r="H113" i="8" s="1"/>
  <c r="I113" i="8" s="1"/>
  <c r="H116" i="7" a="1"/>
  <c r="H116" i="7" s="1"/>
  <c r="I116" i="7" s="1"/>
  <c r="E115" i="7"/>
  <c r="J115" i="7" s="1"/>
  <c r="C114" i="7"/>
  <c r="D114" i="7" s="1"/>
  <c r="C113" i="7"/>
  <c r="D113" i="7" s="1"/>
  <c r="E116" i="6"/>
  <c r="J116" i="6" s="1"/>
  <c r="C115" i="6"/>
  <c r="D115" i="6" s="1"/>
  <c r="C114" i="6"/>
  <c r="D114" i="6" s="1"/>
  <c r="H113" i="6" a="1"/>
  <c r="H113" i="6" s="1"/>
  <c r="I113" i="6" s="1"/>
  <c r="C116" i="5"/>
  <c r="D116" i="5" s="1"/>
  <c r="H115" i="5" a="1"/>
  <c r="H115" i="5" s="1"/>
  <c r="I115" i="5" s="1"/>
  <c r="H114" i="5" a="1"/>
  <c r="H114" i="5" s="1"/>
  <c r="I114" i="5" s="1"/>
  <c r="C113" i="5"/>
  <c r="D113" i="5" s="1"/>
  <c r="H114" i="4" a="1"/>
  <c r="H114" i="4" s="1"/>
  <c r="I114" i="4" s="1"/>
  <c r="E116" i="4"/>
  <c r="J116" i="4" s="1"/>
  <c r="C115" i="4"/>
  <c r="D115" i="4" s="1"/>
  <c r="E114" i="4"/>
  <c r="J114" i="4" s="1"/>
  <c r="C113" i="4"/>
  <c r="D113" i="4" s="1"/>
  <c r="E116" i="3"/>
  <c r="J116" i="3" s="1"/>
  <c r="E115" i="3"/>
  <c r="J115" i="3" s="1"/>
  <c r="C114" i="3"/>
  <c r="D114" i="3" s="1"/>
  <c r="H113" i="3" a="1"/>
  <c r="H113" i="3" s="1"/>
  <c r="I113" i="3" s="1"/>
  <c r="C116" i="2" a="1"/>
  <c r="C116" i="2" s="1"/>
  <c r="D116" i="2" s="1"/>
  <c r="C115" i="2" a="1"/>
  <c r="C115" i="2" s="1"/>
  <c r="D115" i="2" s="1"/>
  <c r="H114" i="2" a="1"/>
  <c r="H114" i="2" s="1"/>
  <c r="I114" i="2" s="1"/>
  <c r="C113" i="2" a="1"/>
  <c r="C113" i="2" s="1"/>
  <c r="D113" i="2" s="1"/>
  <c r="H113" i="1" a="1"/>
  <c r="H113" i="1" s="1"/>
  <c r="I113" i="1" s="1"/>
  <c r="C114" i="1" a="1"/>
  <c r="C114" i="1" s="1"/>
  <c r="D114" i="1" s="1"/>
  <c r="H115" i="1" a="1"/>
  <c r="H115" i="1" s="1"/>
  <c r="I115" i="1" s="1"/>
  <c r="C116" i="1" a="1"/>
  <c r="C116" i="1" s="1"/>
  <c r="D116" i="1" s="1"/>
  <c r="C113" i="1" a="1"/>
  <c r="C113" i="1" s="1"/>
  <c r="D113" i="1" s="1"/>
  <c r="C114" i="4" l="1"/>
  <c r="D114" i="4" s="1"/>
  <c r="F114" i="4" s="1"/>
  <c r="E113" i="3"/>
  <c r="J113" i="3" s="1"/>
  <c r="K113" i="3" s="1"/>
  <c r="E115" i="2"/>
  <c r="J115" i="2" s="1"/>
  <c r="H116" i="4" a="1"/>
  <c r="H116" i="4" s="1"/>
  <c r="I116" i="4" s="1"/>
  <c r="K116" i="4" s="1"/>
  <c r="H115" i="2" a="1"/>
  <c r="H115" i="2" s="1"/>
  <c r="I115" i="2" s="1"/>
  <c r="C116" i="3"/>
  <c r="D116" i="3" s="1"/>
  <c r="F116" i="3" s="1"/>
  <c r="E116" i="11"/>
  <c r="J116" i="11" s="1"/>
  <c r="K116" i="11" s="1"/>
  <c r="E114" i="5"/>
  <c r="J114" i="5" s="1"/>
  <c r="K114" i="5" s="1"/>
  <c r="C116" i="4"/>
  <c r="D116" i="4" s="1"/>
  <c r="F116" i="4" s="1"/>
  <c r="H113" i="4" a="1"/>
  <c r="H113" i="4" s="1"/>
  <c r="I113" i="4" s="1"/>
  <c r="H114" i="3" a="1"/>
  <c r="H114" i="3" s="1"/>
  <c r="I114" i="3" s="1"/>
  <c r="C115" i="12"/>
  <c r="D115" i="12" s="1"/>
  <c r="F115" i="12" s="1"/>
  <c r="C116" i="11"/>
  <c r="D116" i="11" s="1"/>
  <c r="E116" i="9"/>
  <c r="J116" i="9" s="1"/>
  <c r="E116" i="7"/>
  <c r="J116" i="7" s="1"/>
  <c r="K116" i="7" s="1"/>
  <c r="C114" i="5"/>
  <c r="D114" i="5" s="1"/>
  <c r="C113" i="12"/>
  <c r="D113" i="12" s="1"/>
  <c r="F113" i="12" s="1"/>
  <c r="H114" i="11" a="1"/>
  <c r="H114" i="11" s="1"/>
  <c r="I114" i="11" s="1"/>
  <c r="C115" i="10"/>
  <c r="D115" i="10" s="1"/>
  <c r="F115" i="10" s="1"/>
  <c r="C116" i="9"/>
  <c r="D116" i="9" s="1"/>
  <c r="F116" i="9" s="1"/>
  <c r="C115" i="8" a="1"/>
  <c r="C115" i="8" s="1"/>
  <c r="D115" i="8" s="1"/>
  <c r="F115" i="8" s="1"/>
  <c r="C116" i="7"/>
  <c r="D116" i="7" s="1"/>
  <c r="H115" i="6" a="1"/>
  <c r="H115" i="6" s="1"/>
  <c r="I115" i="6" s="1"/>
  <c r="H116" i="5" a="1"/>
  <c r="H116" i="5" s="1"/>
  <c r="I116" i="5" s="1"/>
  <c r="H113" i="5" a="1"/>
  <c r="H113" i="5" s="1"/>
  <c r="I113" i="5" s="1"/>
  <c r="K114" i="4"/>
  <c r="H113" i="11" a="1"/>
  <c r="H113" i="11" s="1"/>
  <c r="I113" i="11" s="1"/>
  <c r="C113" i="10"/>
  <c r="D113" i="10" s="1"/>
  <c r="F113" i="10" s="1"/>
  <c r="C114" i="9"/>
  <c r="D114" i="9" s="1"/>
  <c r="F114" i="9" s="1"/>
  <c r="E113" i="8"/>
  <c r="J113" i="8" s="1"/>
  <c r="K113" i="8" s="1"/>
  <c r="H114" i="7" a="1"/>
  <c r="H114" i="7" s="1"/>
  <c r="I114" i="7" s="1"/>
  <c r="E113" i="6"/>
  <c r="J113" i="6" s="1"/>
  <c r="K113" i="6" s="1"/>
  <c r="E116" i="5"/>
  <c r="J116" i="5" s="1"/>
  <c r="E114" i="2"/>
  <c r="J114" i="2" s="1"/>
  <c r="K114" i="2" s="1"/>
  <c r="C115" i="11"/>
  <c r="D115" i="11" s="1"/>
  <c r="F115" i="11" s="1"/>
  <c r="C115" i="9"/>
  <c r="D115" i="9" s="1"/>
  <c r="F115" i="9" s="1"/>
  <c r="C116" i="6"/>
  <c r="D116" i="6" s="1"/>
  <c r="F116" i="6" s="1"/>
  <c r="H114" i="6" a="1"/>
  <c r="H114" i="6" s="1"/>
  <c r="I114" i="6" s="1"/>
  <c r="E115" i="5"/>
  <c r="J115" i="5" s="1"/>
  <c r="K115" i="5" s="1"/>
  <c r="H116" i="2" a="1"/>
  <c r="H116" i="2" s="1"/>
  <c r="I116" i="2" s="1"/>
  <c r="C116" i="10"/>
  <c r="D116" i="10" s="1"/>
  <c r="H114" i="10" a="1"/>
  <c r="H114" i="10" s="1"/>
  <c r="I114" i="10" s="1"/>
  <c r="E114" i="6"/>
  <c r="J114" i="6" s="1"/>
  <c r="E115" i="4"/>
  <c r="J115" i="4" s="1"/>
  <c r="H116" i="3" a="1"/>
  <c r="H116" i="3" s="1"/>
  <c r="I116" i="3" s="1"/>
  <c r="K116" i="3" s="1"/>
  <c r="H115" i="3" a="1"/>
  <c r="H115" i="3" s="1"/>
  <c r="I115" i="3" s="1"/>
  <c r="K115" i="3" s="1"/>
  <c r="E114" i="3"/>
  <c r="J114" i="3" s="1"/>
  <c r="H115" i="12" a="1"/>
  <c r="H115" i="12" s="1"/>
  <c r="I115" i="12" s="1"/>
  <c r="K115" i="12" s="1"/>
  <c r="E114" i="12"/>
  <c r="J114" i="12" s="1"/>
  <c r="H115" i="11" a="1"/>
  <c r="H115" i="11" s="1"/>
  <c r="I115" i="11" s="1"/>
  <c r="K115" i="11" s="1"/>
  <c r="E114" i="11"/>
  <c r="J114" i="11" s="1"/>
  <c r="H115" i="10" a="1"/>
  <c r="H115" i="10" s="1"/>
  <c r="I115" i="10" s="1"/>
  <c r="K115" i="10" s="1"/>
  <c r="E114" i="10"/>
  <c r="J114" i="10" s="1"/>
  <c r="H115" i="9" a="1"/>
  <c r="H115" i="9" s="1"/>
  <c r="I115" i="9" s="1"/>
  <c r="K115" i="9" s="1"/>
  <c r="H114" i="9" a="1"/>
  <c r="H114" i="9" s="1"/>
  <c r="I114" i="9" s="1"/>
  <c r="K114" i="9" s="1"/>
  <c r="H115" i="8" a="1"/>
  <c r="H115" i="8" s="1"/>
  <c r="I115" i="8" s="1"/>
  <c r="K115" i="8" s="1"/>
  <c r="E114" i="8"/>
  <c r="J114" i="8" s="1"/>
  <c r="H115" i="7" a="1"/>
  <c r="H115" i="7" s="1"/>
  <c r="I115" i="7" s="1"/>
  <c r="K115" i="7" s="1"/>
  <c r="E114" i="7"/>
  <c r="J114" i="7" s="1"/>
  <c r="H116" i="6" a="1"/>
  <c r="H116" i="6" s="1"/>
  <c r="I116" i="6" s="1"/>
  <c r="K116" i="6" s="1"/>
  <c r="E115" i="6"/>
  <c r="J115" i="6" s="1"/>
  <c r="C115" i="5"/>
  <c r="D115" i="5" s="1"/>
  <c r="C115" i="3"/>
  <c r="D115" i="3" s="1"/>
  <c r="F115" i="3" s="1"/>
  <c r="E116" i="12"/>
  <c r="J116" i="12" s="1"/>
  <c r="K116" i="12" s="1"/>
  <c r="E116" i="10"/>
  <c r="J116" i="10" s="1"/>
  <c r="K116" i="10" s="1"/>
  <c r="E116" i="8"/>
  <c r="J116" i="8" s="1"/>
  <c r="K116" i="8" s="1"/>
  <c r="C115" i="7"/>
  <c r="D115" i="7" s="1"/>
  <c r="F115" i="7" s="1"/>
  <c r="C114" i="2" a="1"/>
  <c r="C114" i="2" s="1"/>
  <c r="D114" i="2" s="1"/>
  <c r="H115" i="4" a="1"/>
  <c r="H115" i="4" s="1"/>
  <c r="I115" i="4" s="1"/>
  <c r="C116" i="12"/>
  <c r="D116" i="12" s="1"/>
  <c r="H114" i="12" a="1"/>
  <c r="H114" i="12" s="1"/>
  <c r="I114" i="12" s="1"/>
  <c r="C116" i="8" a="1"/>
  <c r="C116" i="8" s="1"/>
  <c r="D116" i="8" s="1"/>
  <c r="H114" i="8" a="1"/>
  <c r="H114" i="8" s="1"/>
  <c r="I114" i="8" s="1"/>
  <c r="E115" i="1"/>
  <c r="J115" i="1" s="1"/>
  <c r="K115" i="1" s="1"/>
  <c r="E116" i="2"/>
  <c r="J116" i="2" s="1"/>
  <c r="C115" i="1" a="1"/>
  <c r="C115" i="1" s="1"/>
  <c r="D115" i="1" s="1"/>
  <c r="H113" i="2" a="1"/>
  <c r="H113" i="2" s="1"/>
  <c r="I113" i="2" s="1"/>
  <c r="E113" i="2"/>
  <c r="J113" i="2" s="1"/>
  <c r="E113" i="4"/>
  <c r="J113" i="4" s="1"/>
  <c r="C113" i="3"/>
  <c r="D113" i="3" s="1"/>
  <c r="E113" i="11"/>
  <c r="J113" i="11" s="1"/>
  <c r="H113" i="9" a="1"/>
  <c r="H113" i="9" s="1"/>
  <c r="I113" i="9" s="1"/>
  <c r="C113" i="8" a="1"/>
  <c r="C113" i="8" s="1"/>
  <c r="D113" i="8" s="1"/>
  <c r="H113" i="7" a="1"/>
  <c r="H113" i="7" s="1"/>
  <c r="I113" i="7" s="1"/>
  <c r="C113" i="6"/>
  <c r="D113" i="6" s="1"/>
  <c r="E113" i="5"/>
  <c r="J113" i="5" s="1"/>
  <c r="H113" i="12" a="1"/>
  <c r="H113" i="12" s="1"/>
  <c r="I113" i="12" s="1"/>
  <c r="K113" i="12" s="1"/>
  <c r="H113" i="10" a="1"/>
  <c r="H113" i="10" s="1"/>
  <c r="I113" i="10" s="1"/>
  <c r="K113" i="10" s="1"/>
  <c r="E113" i="9"/>
  <c r="J113" i="9" s="1"/>
  <c r="E113" i="7"/>
  <c r="J113" i="7" s="1"/>
  <c r="K116" i="9"/>
  <c r="H116" i="1" a="1"/>
  <c r="H116" i="1" s="1"/>
  <c r="I116" i="1" s="1"/>
  <c r="E116" i="1"/>
  <c r="J116" i="1" s="1"/>
  <c r="H114" i="1" a="1"/>
  <c r="H114" i="1" s="1"/>
  <c r="I114" i="1" s="1"/>
  <c r="E114" i="1"/>
  <c r="J114" i="1" s="1"/>
  <c r="E113" i="1"/>
  <c r="J113" i="1" s="1"/>
  <c r="K113" i="1" s="1"/>
  <c r="C95" i="12"/>
  <c r="H95" i="12" a="1"/>
  <c r="H95" i="12" s="1"/>
  <c r="C95" i="11"/>
  <c r="H95" i="11" a="1"/>
  <c r="H95" i="11" s="1"/>
  <c r="C95" i="10"/>
  <c r="H95" i="10" a="1"/>
  <c r="H95" i="10" s="1"/>
  <c r="C95" i="9"/>
  <c r="H95" i="9" a="1"/>
  <c r="H95" i="9" s="1"/>
  <c r="C95" i="8" a="1"/>
  <c r="C95" i="8" s="1"/>
  <c r="H95" i="8" a="1"/>
  <c r="H95" i="8" s="1"/>
  <c r="C95" i="7"/>
  <c r="H95" i="7" a="1"/>
  <c r="H95" i="7" s="1"/>
  <c r="C95" i="6"/>
  <c r="H95" i="6" a="1"/>
  <c r="H95" i="6" s="1"/>
  <c r="C95" i="5"/>
  <c r="H95" i="5" a="1"/>
  <c r="H95" i="5" s="1"/>
  <c r="C95" i="4"/>
  <c r="H95" i="4" a="1"/>
  <c r="H95" i="4" s="1"/>
  <c r="C95" i="3"/>
  <c r="H95" i="3" a="1"/>
  <c r="H95" i="3" s="1"/>
  <c r="C95" i="2" a="1"/>
  <c r="C95" i="2" s="1"/>
  <c r="H95" i="2" a="1"/>
  <c r="H95" i="2" s="1"/>
  <c r="C95" i="1" a="1"/>
  <c r="C95" i="1" s="1"/>
  <c r="H95" i="1" a="1"/>
  <c r="H95" i="1" s="1"/>
  <c r="I55" i="16"/>
  <c r="E55" i="16"/>
  <c r="F113" i="3" l="1"/>
  <c r="F115" i="2"/>
  <c r="F116" i="2"/>
  <c r="K115" i="6"/>
  <c r="K114" i="3"/>
  <c r="K113" i="4"/>
  <c r="K114" i="11"/>
  <c r="F116" i="5"/>
  <c r="F116" i="11"/>
  <c r="F114" i="11"/>
  <c r="K113" i="5"/>
  <c r="K114" i="10"/>
  <c r="F113" i="6"/>
  <c r="F116" i="7"/>
  <c r="F116" i="12"/>
  <c r="K113" i="11"/>
  <c r="K115" i="2"/>
  <c r="F114" i="5"/>
  <c r="K114" i="7"/>
  <c r="F113" i="2"/>
  <c r="K115" i="4"/>
  <c r="F113" i="5"/>
  <c r="F114" i="2"/>
  <c r="F114" i="10"/>
  <c r="F113" i="7"/>
  <c r="K113" i="7"/>
  <c r="F115" i="1"/>
  <c r="F116" i="8"/>
  <c r="F115" i="5"/>
  <c r="K116" i="2"/>
  <c r="K116" i="5"/>
  <c r="F114" i="3"/>
  <c r="F115" i="6"/>
  <c r="F113" i="8"/>
  <c r="F113" i="11"/>
  <c r="K114" i="6"/>
  <c r="F115" i="4"/>
  <c r="F113" i="4"/>
  <c r="K113" i="9"/>
  <c r="K114" i="8"/>
  <c r="K114" i="12"/>
  <c r="F113" i="9"/>
  <c r="K113" i="2"/>
  <c r="F114" i="12"/>
  <c r="F114" i="6"/>
  <c r="F114" i="8"/>
  <c r="F116" i="10"/>
  <c r="F114" i="7"/>
  <c r="K114" i="1"/>
  <c r="K116" i="1"/>
  <c r="F114" i="1"/>
  <c r="F113" i="1"/>
  <c r="F116" i="1"/>
  <c r="N7" i="15"/>
  <c r="H7" i="15"/>
  <c r="S43" i="18"/>
  <c r="S44" i="18"/>
  <c r="S45" i="18"/>
  <c r="S46" i="18"/>
  <c r="S47" i="18"/>
  <c r="S48" i="18"/>
  <c r="S49" i="18"/>
  <c r="S50" i="18"/>
  <c r="S51" i="18"/>
  <c r="S52" i="18"/>
  <c r="S53" i="18"/>
  <c r="S54" i="18"/>
  <c r="S55" i="18"/>
  <c r="S56" i="18"/>
  <c r="S57" i="18"/>
  <c r="S58" i="18"/>
  <c r="E43" i="18" a="1"/>
  <c r="E43" i="18" s="1"/>
  <c r="E44" i="18" a="1"/>
  <c r="E44" i="18" s="1"/>
  <c r="E45" i="18" a="1"/>
  <c r="E45" i="18" s="1"/>
  <c r="E46" i="18" a="1"/>
  <c r="E46" i="18" s="1"/>
  <c r="E47" i="18" a="1"/>
  <c r="E47" i="18" s="1"/>
  <c r="E48" i="18" a="1"/>
  <c r="E48" i="18" s="1"/>
  <c r="E49" i="18" a="1"/>
  <c r="E49" i="18" s="1"/>
  <c r="E50" i="18" a="1"/>
  <c r="E50" i="18" s="1"/>
  <c r="E51" i="18" a="1"/>
  <c r="E51" i="18" s="1"/>
  <c r="E52" i="18" a="1"/>
  <c r="E52" i="18" s="1"/>
  <c r="E53" i="18" a="1"/>
  <c r="E53" i="18" s="1"/>
  <c r="E54" i="18" a="1"/>
  <c r="E54" i="18" s="1"/>
  <c r="E55" i="18" a="1"/>
  <c r="E55" i="18" s="1"/>
  <c r="E56" i="18" a="1"/>
  <c r="E56" i="18" s="1"/>
  <c r="E57" i="18" a="1"/>
  <c r="E57" i="18" s="1"/>
  <c r="E58" i="18" a="1"/>
  <c r="E58" i="18" s="1"/>
  <c r="T51" i="15" l="1"/>
  <c r="T52" i="15"/>
  <c r="T53" i="15"/>
  <c r="T54" i="15"/>
  <c r="T55" i="15"/>
  <c r="T56" i="15"/>
  <c r="T57" i="15"/>
  <c r="T58" i="15"/>
  <c r="T59" i="15"/>
  <c r="T60" i="15"/>
  <c r="T61" i="15"/>
  <c r="T62" i="15"/>
  <c r="T63" i="15"/>
  <c r="T64" i="15"/>
  <c r="E51" i="15"/>
  <c r="E52" i="15"/>
  <c r="E53" i="15"/>
  <c r="E54" i="15"/>
  <c r="E55" i="15"/>
  <c r="E56" i="15"/>
  <c r="E57" i="15"/>
  <c r="E58" i="15"/>
  <c r="E59" i="15"/>
  <c r="E60" i="15"/>
  <c r="E61" i="15"/>
  <c r="E62" i="15"/>
  <c r="E63" i="15"/>
  <c r="E64" i="15"/>
  <c r="C50" i="12" l="1"/>
  <c r="H112" i="2" l="1" a="1"/>
  <c r="H112" i="2" s="1"/>
  <c r="H111" i="2" a="1"/>
  <c r="H111" i="2" s="1"/>
  <c r="H110" i="2" a="1"/>
  <c r="H110" i="2" s="1"/>
  <c r="H109" i="2" a="1"/>
  <c r="H109" i="2" s="1"/>
  <c r="H108" i="2" a="1"/>
  <c r="H108" i="2" s="1"/>
  <c r="H107" i="2" a="1"/>
  <c r="H107" i="2" s="1"/>
  <c r="H106" i="2" a="1"/>
  <c r="H106" i="2" s="1"/>
  <c r="H105" i="2" a="1"/>
  <c r="H105" i="2" s="1"/>
  <c r="H104" i="2" a="1"/>
  <c r="H104" i="2" s="1"/>
  <c r="H103" i="2" a="1"/>
  <c r="H103" i="2" s="1"/>
  <c r="H102" i="2" a="1"/>
  <c r="H102" i="2" s="1"/>
  <c r="H101" i="2" a="1"/>
  <c r="H101" i="2" s="1"/>
  <c r="H100" i="2" a="1"/>
  <c r="H100" i="2" s="1"/>
  <c r="H99" i="2" a="1"/>
  <c r="H99" i="2" s="1"/>
  <c r="H98" i="2" a="1"/>
  <c r="H98" i="2" s="1"/>
  <c r="H97" i="2" a="1"/>
  <c r="H97" i="2" s="1"/>
  <c r="H96" i="2" a="1"/>
  <c r="H96" i="2" s="1"/>
  <c r="H94" i="2" a="1"/>
  <c r="H94" i="2" s="1"/>
  <c r="H93" i="2" a="1"/>
  <c r="H93" i="2" s="1"/>
  <c r="H92" i="2" a="1"/>
  <c r="H92" i="2" s="1"/>
  <c r="H91" i="2" a="1"/>
  <c r="H91" i="2" s="1"/>
  <c r="H90" i="2" a="1"/>
  <c r="H90" i="2" s="1"/>
  <c r="H89" i="2" a="1"/>
  <c r="H89" i="2" s="1"/>
  <c r="H88" i="2" a="1"/>
  <c r="H88" i="2" s="1"/>
  <c r="H87" i="2" a="1"/>
  <c r="H87" i="2" s="1"/>
  <c r="H86" i="2" a="1"/>
  <c r="H86" i="2" s="1"/>
  <c r="H85" i="2" a="1"/>
  <c r="H85" i="2" s="1"/>
  <c r="H84" i="2" a="1"/>
  <c r="H84" i="2" s="1"/>
  <c r="H83" i="2" a="1"/>
  <c r="H83" i="2" s="1"/>
  <c r="H82" i="2" a="1"/>
  <c r="H82" i="2" s="1"/>
  <c r="H81" i="2" a="1"/>
  <c r="H81" i="2" s="1"/>
  <c r="H80" i="2" a="1"/>
  <c r="H80" i="2" s="1"/>
  <c r="H79" i="2" a="1"/>
  <c r="H79" i="2" s="1"/>
  <c r="H78" i="2" a="1"/>
  <c r="H78" i="2" s="1"/>
  <c r="H77" i="2" a="1"/>
  <c r="H77" i="2" s="1"/>
  <c r="H76" i="2" a="1"/>
  <c r="H76" i="2" s="1"/>
  <c r="H75" i="2" a="1"/>
  <c r="H75" i="2" s="1"/>
  <c r="H74" i="2" a="1"/>
  <c r="H74" i="2" s="1"/>
  <c r="H73" i="2" a="1"/>
  <c r="H73" i="2" s="1"/>
  <c r="H72" i="2" a="1"/>
  <c r="H72" i="2" s="1"/>
  <c r="H71" i="2" a="1"/>
  <c r="H71" i="2" s="1"/>
  <c r="H70" i="2" a="1"/>
  <c r="H70" i="2" s="1"/>
  <c r="H69" i="2" a="1"/>
  <c r="H69" i="2" s="1"/>
  <c r="H68" i="2" a="1"/>
  <c r="H68" i="2" s="1"/>
  <c r="H67" i="2" a="1"/>
  <c r="H67" i="2" s="1"/>
  <c r="H66" i="2" a="1"/>
  <c r="H66" i="2" s="1"/>
  <c r="H65" i="2" a="1"/>
  <c r="H65" i="2" s="1"/>
  <c r="H64" i="2" a="1"/>
  <c r="H64" i="2" s="1"/>
  <c r="H63" i="2" a="1"/>
  <c r="H63" i="2" s="1"/>
  <c r="H62" i="2" a="1"/>
  <c r="H62" i="2" s="1"/>
  <c r="H61" i="2" a="1"/>
  <c r="H61" i="2" s="1"/>
  <c r="H60" i="2" a="1"/>
  <c r="H60" i="2" s="1"/>
  <c r="H59" i="2" a="1"/>
  <c r="H59" i="2" s="1"/>
  <c r="H58" i="2" a="1"/>
  <c r="H58" i="2" s="1"/>
  <c r="H57" i="2" a="1"/>
  <c r="H57" i="2" s="1"/>
  <c r="H56" i="2" a="1"/>
  <c r="H56" i="2" s="1"/>
  <c r="H55" i="2"/>
  <c r="H54" i="2" a="1"/>
  <c r="H54" i="2" s="1"/>
  <c r="H53" i="2"/>
  <c r="H52" i="2"/>
  <c r="H51" i="2"/>
  <c r="H50" i="2"/>
  <c r="H49" i="2"/>
  <c r="H48" i="2"/>
  <c r="H47" i="2" a="1"/>
  <c r="H47" i="2" s="1"/>
  <c r="H46" i="2" a="1"/>
  <c r="H46" i="2" s="1"/>
  <c r="H112" i="3" a="1"/>
  <c r="H112" i="3" s="1"/>
  <c r="H111" i="3" a="1"/>
  <c r="H111" i="3" s="1"/>
  <c r="H110" i="3" a="1"/>
  <c r="H110" i="3" s="1"/>
  <c r="H109" i="3" a="1"/>
  <c r="H109" i="3" s="1"/>
  <c r="H108" i="3" a="1"/>
  <c r="H108" i="3" s="1"/>
  <c r="H107" i="3" a="1"/>
  <c r="H107" i="3" s="1"/>
  <c r="H106" i="3" a="1"/>
  <c r="H106" i="3" s="1"/>
  <c r="H105" i="3" a="1"/>
  <c r="H105" i="3" s="1"/>
  <c r="H104" i="3" a="1"/>
  <c r="H104" i="3" s="1"/>
  <c r="H103" i="3" a="1"/>
  <c r="H103" i="3" s="1"/>
  <c r="H102" i="3" a="1"/>
  <c r="H102" i="3" s="1"/>
  <c r="H101" i="3" a="1"/>
  <c r="H101" i="3" s="1"/>
  <c r="H100" i="3" a="1"/>
  <c r="H100" i="3" s="1"/>
  <c r="H99" i="3" a="1"/>
  <c r="H99" i="3" s="1"/>
  <c r="H98" i="3" a="1"/>
  <c r="H98" i="3" s="1"/>
  <c r="H97" i="3" a="1"/>
  <c r="H97" i="3" s="1"/>
  <c r="H96" i="3" a="1"/>
  <c r="H96" i="3" s="1"/>
  <c r="H94" i="3" a="1"/>
  <c r="H94" i="3" s="1"/>
  <c r="H93" i="3" a="1"/>
  <c r="H93" i="3" s="1"/>
  <c r="H92" i="3" a="1"/>
  <c r="H92" i="3" s="1"/>
  <c r="H91" i="3" a="1"/>
  <c r="H91" i="3" s="1"/>
  <c r="H90" i="3" a="1"/>
  <c r="H90" i="3" s="1"/>
  <c r="H89" i="3" a="1"/>
  <c r="H89" i="3" s="1"/>
  <c r="H88" i="3" a="1"/>
  <c r="H88" i="3" s="1"/>
  <c r="H87" i="3" a="1"/>
  <c r="H87" i="3" s="1"/>
  <c r="H86" i="3" a="1"/>
  <c r="H86" i="3" s="1"/>
  <c r="H85" i="3" a="1"/>
  <c r="H85" i="3" s="1"/>
  <c r="H84" i="3" a="1"/>
  <c r="H84" i="3" s="1"/>
  <c r="H83" i="3" a="1"/>
  <c r="H83" i="3" s="1"/>
  <c r="H82" i="3" a="1"/>
  <c r="H82" i="3" s="1"/>
  <c r="H81" i="3" a="1"/>
  <c r="H81" i="3" s="1"/>
  <c r="H80" i="3" a="1"/>
  <c r="H80" i="3" s="1"/>
  <c r="H79" i="3" a="1"/>
  <c r="H79" i="3" s="1"/>
  <c r="H78" i="3" a="1"/>
  <c r="H78" i="3" s="1"/>
  <c r="H77" i="3" a="1"/>
  <c r="H77" i="3" s="1"/>
  <c r="H76" i="3" a="1"/>
  <c r="H76" i="3" s="1"/>
  <c r="H75" i="3" a="1"/>
  <c r="H75" i="3" s="1"/>
  <c r="H74" i="3" a="1"/>
  <c r="H74" i="3" s="1"/>
  <c r="H73" i="3" a="1"/>
  <c r="H73" i="3" s="1"/>
  <c r="H72" i="3" a="1"/>
  <c r="H72" i="3" s="1"/>
  <c r="H71" i="3" a="1"/>
  <c r="H71" i="3" s="1"/>
  <c r="H70" i="3" a="1"/>
  <c r="H70" i="3" s="1"/>
  <c r="H69" i="3" a="1"/>
  <c r="H69" i="3" s="1"/>
  <c r="H68" i="3" a="1"/>
  <c r="H68" i="3" s="1"/>
  <c r="H67" i="3" a="1"/>
  <c r="H67" i="3" s="1"/>
  <c r="H66" i="3" a="1"/>
  <c r="H66" i="3" s="1"/>
  <c r="H65" i="3" a="1"/>
  <c r="H65" i="3" s="1"/>
  <c r="H64" i="3" a="1"/>
  <c r="H64" i="3" s="1"/>
  <c r="H63" i="3" a="1"/>
  <c r="H63" i="3" s="1"/>
  <c r="H62" i="3" a="1"/>
  <c r="H62" i="3" s="1"/>
  <c r="H61" i="3" a="1"/>
  <c r="H61" i="3" s="1"/>
  <c r="H60" i="3" a="1"/>
  <c r="H60" i="3" s="1"/>
  <c r="H59" i="3" a="1"/>
  <c r="H59" i="3" s="1"/>
  <c r="H58" i="3" a="1"/>
  <c r="H58" i="3" s="1"/>
  <c r="H57" i="3" a="1"/>
  <c r="H57" i="3" s="1"/>
  <c r="H56" i="3" a="1"/>
  <c r="H56" i="3" s="1"/>
  <c r="H55" i="3"/>
  <c r="H54" i="3" a="1"/>
  <c r="H54" i="3" s="1"/>
  <c r="H53" i="3"/>
  <c r="H52" i="3"/>
  <c r="H51" i="3"/>
  <c r="H50" i="3"/>
  <c r="H49" i="3"/>
  <c r="H48" i="3"/>
  <c r="H47" i="3" a="1"/>
  <c r="H47" i="3" s="1"/>
  <c r="H46" i="3" a="1"/>
  <c r="H46" i="3" s="1"/>
  <c r="H112" i="4" a="1"/>
  <c r="H112" i="4" s="1"/>
  <c r="H111" i="4" a="1"/>
  <c r="H111" i="4" s="1"/>
  <c r="H110" i="4" a="1"/>
  <c r="H110" i="4" s="1"/>
  <c r="H109" i="4" a="1"/>
  <c r="H109" i="4" s="1"/>
  <c r="H108" i="4" a="1"/>
  <c r="H108" i="4" s="1"/>
  <c r="H107" i="4" a="1"/>
  <c r="H107" i="4" s="1"/>
  <c r="H106" i="4" a="1"/>
  <c r="H106" i="4" s="1"/>
  <c r="H105" i="4" a="1"/>
  <c r="H105" i="4" s="1"/>
  <c r="H104" i="4" a="1"/>
  <c r="H104" i="4" s="1"/>
  <c r="H103" i="4" a="1"/>
  <c r="H103" i="4" s="1"/>
  <c r="H102" i="4" a="1"/>
  <c r="H102" i="4" s="1"/>
  <c r="H101" i="4" a="1"/>
  <c r="H101" i="4" s="1"/>
  <c r="H100" i="4" a="1"/>
  <c r="H100" i="4" s="1"/>
  <c r="H99" i="4" a="1"/>
  <c r="H99" i="4" s="1"/>
  <c r="H98" i="4" a="1"/>
  <c r="H98" i="4" s="1"/>
  <c r="H97" i="4" a="1"/>
  <c r="H97" i="4" s="1"/>
  <c r="H96" i="4" a="1"/>
  <c r="H96" i="4" s="1"/>
  <c r="H94" i="4" a="1"/>
  <c r="H94" i="4" s="1"/>
  <c r="H93" i="4" a="1"/>
  <c r="H93" i="4" s="1"/>
  <c r="H92" i="4" a="1"/>
  <c r="H92" i="4" s="1"/>
  <c r="H91" i="4" a="1"/>
  <c r="H91" i="4" s="1"/>
  <c r="H90" i="4" a="1"/>
  <c r="H90" i="4" s="1"/>
  <c r="H89" i="4" a="1"/>
  <c r="H89" i="4" s="1"/>
  <c r="H88" i="4" a="1"/>
  <c r="H88" i="4" s="1"/>
  <c r="H87" i="4" a="1"/>
  <c r="H87" i="4" s="1"/>
  <c r="H86" i="4" a="1"/>
  <c r="H86" i="4" s="1"/>
  <c r="H85" i="4" a="1"/>
  <c r="H85" i="4" s="1"/>
  <c r="H84" i="4" a="1"/>
  <c r="H84" i="4" s="1"/>
  <c r="H83" i="4" a="1"/>
  <c r="H83" i="4" s="1"/>
  <c r="H82" i="4" a="1"/>
  <c r="H82" i="4" s="1"/>
  <c r="H81" i="4" a="1"/>
  <c r="H81" i="4" s="1"/>
  <c r="H80" i="4" a="1"/>
  <c r="H80" i="4" s="1"/>
  <c r="H79" i="4" a="1"/>
  <c r="H79" i="4" s="1"/>
  <c r="H78" i="4" a="1"/>
  <c r="H78" i="4" s="1"/>
  <c r="H77" i="4" a="1"/>
  <c r="H77" i="4" s="1"/>
  <c r="H76" i="4" a="1"/>
  <c r="H76" i="4" s="1"/>
  <c r="H75" i="4" a="1"/>
  <c r="H75" i="4" s="1"/>
  <c r="H74" i="4" a="1"/>
  <c r="H74" i="4" s="1"/>
  <c r="H73" i="4" a="1"/>
  <c r="H73" i="4" s="1"/>
  <c r="H72" i="4" a="1"/>
  <c r="H72" i="4" s="1"/>
  <c r="H71" i="4" a="1"/>
  <c r="H71" i="4" s="1"/>
  <c r="H70" i="4" a="1"/>
  <c r="H70" i="4" s="1"/>
  <c r="H69" i="4" a="1"/>
  <c r="H69" i="4" s="1"/>
  <c r="H68" i="4" a="1"/>
  <c r="H68" i="4" s="1"/>
  <c r="H67" i="4" a="1"/>
  <c r="H67" i="4" s="1"/>
  <c r="H66" i="4" a="1"/>
  <c r="H66" i="4" s="1"/>
  <c r="H65" i="4" a="1"/>
  <c r="H65" i="4" s="1"/>
  <c r="H64" i="4" a="1"/>
  <c r="H64" i="4" s="1"/>
  <c r="H63" i="4" a="1"/>
  <c r="H63" i="4" s="1"/>
  <c r="H62" i="4" a="1"/>
  <c r="H62" i="4" s="1"/>
  <c r="H61" i="4" a="1"/>
  <c r="H61" i="4" s="1"/>
  <c r="H60" i="4" a="1"/>
  <c r="H60" i="4" s="1"/>
  <c r="H59" i="4" a="1"/>
  <c r="H59" i="4" s="1"/>
  <c r="H58" i="4" a="1"/>
  <c r="H58" i="4" s="1"/>
  <c r="H57" i="4" a="1"/>
  <c r="H57" i="4" s="1"/>
  <c r="H56" i="4" a="1"/>
  <c r="H56" i="4" s="1"/>
  <c r="H55" i="4"/>
  <c r="H54" i="4" a="1"/>
  <c r="H54" i="4" s="1"/>
  <c r="H53" i="4"/>
  <c r="H52" i="4"/>
  <c r="H51" i="4"/>
  <c r="H50" i="4"/>
  <c r="H49" i="4"/>
  <c r="H48" i="4"/>
  <c r="H47" i="4" a="1"/>
  <c r="H47" i="4" s="1"/>
  <c r="H46" i="4" a="1"/>
  <c r="H46" i="4" s="1"/>
  <c r="H112" i="5" a="1"/>
  <c r="H112" i="5" s="1"/>
  <c r="H111" i="5" a="1"/>
  <c r="H111" i="5" s="1"/>
  <c r="H110" i="5" a="1"/>
  <c r="H110" i="5" s="1"/>
  <c r="H109" i="5" a="1"/>
  <c r="H109" i="5" s="1"/>
  <c r="H108" i="5" a="1"/>
  <c r="H108" i="5" s="1"/>
  <c r="H107" i="5" a="1"/>
  <c r="H107" i="5" s="1"/>
  <c r="H106" i="5" a="1"/>
  <c r="H106" i="5" s="1"/>
  <c r="H105" i="5" a="1"/>
  <c r="H105" i="5" s="1"/>
  <c r="H104" i="5" a="1"/>
  <c r="H104" i="5" s="1"/>
  <c r="H103" i="5" a="1"/>
  <c r="H103" i="5" s="1"/>
  <c r="H102" i="5" a="1"/>
  <c r="H102" i="5" s="1"/>
  <c r="H101" i="5" a="1"/>
  <c r="H101" i="5" s="1"/>
  <c r="H100" i="5" a="1"/>
  <c r="H100" i="5" s="1"/>
  <c r="H99" i="5" a="1"/>
  <c r="H99" i="5" s="1"/>
  <c r="H98" i="5" a="1"/>
  <c r="H98" i="5" s="1"/>
  <c r="H97" i="5" a="1"/>
  <c r="H97" i="5" s="1"/>
  <c r="H96" i="5" a="1"/>
  <c r="H96" i="5" s="1"/>
  <c r="H94" i="5" a="1"/>
  <c r="H94" i="5" s="1"/>
  <c r="H93" i="5" a="1"/>
  <c r="H93" i="5" s="1"/>
  <c r="H92" i="5" a="1"/>
  <c r="H92" i="5" s="1"/>
  <c r="H91" i="5" a="1"/>
  <c r="H91" i="5" s="1"/>
  <c r="H90" i="5" a="1"/>
  <c r="H90" i="5" s="1"/>
  <c r="H89" i="5" a="1"/>
  <c r="H89" i="5" s="1"/>
  <c r="H88" i="5" a="1"/>
  <c r="H88" i="5" s="1"/>
  <c r="H87" i="5" a="1"/>
  <c r="H87" i="5" s="1"/>
  <c r="H86" i="5" a="1"/>
  <c r="H86" i="5" s="1"/>
  <c r="H85" i="5" a="1"/>
  <c r="H85" i="5" s="1"/>
  <c r="H84" i="5" a="1"/>
  <c r="H84" i="5" s="1"/>
  <c r="H83" i="5" a="1"/>
  <c r="H83" i="5" s="1"/>
  <c r="H82" i="5" a="1"/>
  <c r="H82" i="5" s="1"/>
  <c r="H81" i="5" a="1"/>
  <c r="H81" i="5" s="1"/>
  <c r="H80" i="5" a="1"/>
  <c r="H80" i="5" s="1"/>
  <c r="H79" i="5" a="1"/>
  <c r="H79" i="5" s="1"/>
  <c r="H78" i="5" a="1"/>
  <c r="H78" i="5" s="1"/>
  <c r="H77" i="5" a="1"/>
  <c r="H77" i="5" s="1"/>
  <c r="H76" i="5" a="1"/>
  <c r="H76" i="5" s="1"/>
  <c r="H75" i="5" a="1"/>
  <c r="H75" i="5" s="1"/>
  <c r="H74" i="5" a="1"/>
  <c r="H74" i="5" s="1"/>
  <c r="H73" i="5" a="1"/>
  <c r="H73" i="5" s="1"/>
  <c r="H72" i="5" a="1"/>
  <c r="H72" i="5" s="1"/>
  <c r="H71" i="5" a="1"/>
  <c r="H71" i="5" s="1"/>
  <c r="H70" i="5" a="1"/>
  <c r="H70" i="5" s="1"/>
  <c r="H69" i="5" a="1"/>
  <c r="H69" i="5" s="1"/>
  <c r="H68" i="5" a="1"/>
  <c r="H68" i="5" s="1"/>
  <c r="H67" i="5" a="1"/>
  <c r="H67" i="5" s="1"/>
  <c r="H66" i="5" a="1"/>
  <c r="H66" i="5" s="1"/>
  <c r="H65" i="5" a="1"/>
  <c r="H65" i="5" s="1"/>
  <c r="H64" i="5" a="1"/>
  <c r="H64" i="5" s="1"/>
  <c r="H63" i="5" a="1"/>
  <c r="H63" i="5" s="1"/>
  <c r="H62" i="5" a="1"/>
  <c r="H62" i="5" s="1"/>
  <c r="H61" i="5" a="1"/>
  <c r="H61" i="5" s="1"/>
  <c r="H60" i="5" a="1"/>
  <c r="H60" i="5" s="1"/>
  <c r="H59" i="5" a="1"/>
  <c r="H59" i="5" s="1"/>
  <c r="H58" i="5" a="1"/>
  <c r="H58" i="5" s="1"/>
  <c r="H57" i="5" a="1"/>
  <c r="H57" i="5" s="1"/>
  <c r="H56" i="5" a="1"/>
  <c r="H56" i="5" s="1"/>
  <c r="H55" i="5"/>
  <c r="H54" i="5" a="1"/>
  <c r="H54" i="5" s="1"/>
  <c r="H53" i="5"/>
  <c r="H52" i="5"/>
  <c r="H51" i="5"/>
  <c r="H50" i="5"/>
  <c r="H49" i="5"/>
  <c r="H48" i="5"/>
  <c r="H47" i="5" a="1"/>
  <c r="H47" i="5" s="1"/>
  <c r="H46" i="5" a="1"/>
  <c r="H46" i="5" s="1"/>
  <c r="H112" i="6" a="1"/>
  <c r="H112" i="6" s="1"/>
  <c r="H111" i="6" a="1"/>
  <c r="H111" i="6" s="1"/>
  <c r="H110" i="6" a="1"/>
  <c r="H110" i="6" s="1"/>
  <c r="H109" i="6" a="1"/>
  <c r="H109" i="6" s="1"/>
  <c r="H108" i="6" a="1"/>
  <c r="H108" i="6" s="1"/>
  <c r="H107" i="6" a="1"/>
  <c r="H107" i="6" s="1"/>
  <c r="H106" i="6" a="1"/>
  <c r="H106" i="6" s="1"/>
  <c r="H105" i="6" a="1"/>
  <c r="H105" i="6" s="1"/>
  <c r="H104" i="6" a="1"/>
  <c r="H104" i="6" s="1"/>
  <c r="H103" i="6" a="1"/>
  <c r="H103" i="6" s="1"/>
  <c r="H102" i="6" a="1"/>
  <c r="H102" i="6" s="1"/>
  <c r="H101" i="6" a="1"/>
  <c r="H101" i="6" s="1"/>
  <c r="H100" i="6" a="1"/>
  <c r="H100" i="6" s="1"/>
  <c r="H99" i="6" a="1"/>
  <c r="H99" i="6" s="1"/>
  <c r="H98" i="6" a="1"/>
  <c r="H98" i="6" s="1"/>
  <c r="H97" i="6" a="1"/>
  <c r="H97" i="6" s="1"/>
  <c r="H96" i="6" a="1"/>
  <c r="H96" i="6" s="1"/>
  <c r="H94" i="6" a="1"/>
  <c r="H94" i="6" s="1"/>
  <c r="H93" i="6" a="1"/>
  <c r="H93" i="6" s="1"/>
  <c r="H92" i="6" a="1"/>
  <c r="H92" i="6" s="1"/>
  <c r="H91" i="6" a="1"/>
  <c r="H91" i="6" s="1"/>
  <c r="H90" i="6" a="1"/>
  <c r="H90" i="6" s="1"/>
  <c r="H89" i="6" a="1"/>
  <c r="H89" i="6" s="1"/>
  <c r="H88" i="6" a="1"/>
  <c r="H88" i="6" s="1"/>
  <c r="H87" i="6" a="1"/>
  <c r="H87" i="6" s="1"/>
  <c r="H86" i="6" a="1"/>
  <c r="H86" i="6" s="1"/>
  <c r="H85" i="6" a="1"/>
  <c r="H85" i="6" s="1"/>
  <c r="H84" i="6" a="1"/>
  <c r="H84" i="6" s="1"/>
  <c r="H83" i="6" a="1"/>
  <c r="H83" i="6" s="1"/>
  <c r="H82" i="6" a="1"/>
  <c r="H82" i="6" s="1"/>
  <c r="H81" i="6" a="1"/>
  <c r="H81" i="6" s="1"/>
  <c r="H80" i="6" a="1"/>
  <c r="H80" i="6" s="1"/>
  <c r="H79" i="6" a="1"/>
  <c r="H79" i="6" s="1"/>
  <c r="H78" i="6" a="1"/>
  <c r="H78" i="6" s="1"/>
  <c r="H77" i="6" a="1"/>
  <c r="H77" i="6" s="1"/>
  <c r="H76" i="6" a="1"/>
  <c r="H76" i="6" s="1"/>
  <c r="H75" i="6" a="1"/>
  <c r="H75" i="6" s="1"/>
  <c r="H74" i="6" a="1"/>
  <c r="H74" i="6" s="1"/>
  <c r="H73" i="6" a="1"/>
  <c r="H73" i="6" s="1"/>
  <c r="H72" i="6" a="1"/>
  <c r="H72" i="6" s="1"/>
  <c r="H71" i="6" a="1"/>
  <c r="H71" i="6" s="1"/>
  <c r="H70" i="6" a="1"/>
  <c r="H70" i="6" s="1"/>
  <c r="H69" i="6" a="1"/>
  <c r="H69" i="6" s="1"/>
  <c r="H68" i="6" a="1"/>
  <c r="H68" i="6" s="1"/>
  <c r="H67" i="6" a="1"/>
  <c r="H67" i="6" s="1"/>
  <c r="H66" i="6" a="1"/>
  <c r="H66" i="6" s="1"/>
  <c r="H65" i="6" a="1"/>
  <c r="H65" i="6" s="1"/>
  <c r="H64" i="6" a="1"/>
  <c r="H64" i="6" s="1"/>
  <c r="H63" i="6" a="1"/>
  <c r="H63" i="6" s="1"/>
  <c r="H62" i="6" a="1"/>
  <c r="H62" i="6" s="1"/>
  <c r="H61" i="6" a="1"/>
  <c r="H61" i="6" s="1"/>
  <c r="H60" i="6" a="1"/>
  <c r="H60" i="6" s="1"/>
  <c r="H59" i="6" a="1"/>
  <c r="H59" i="6" s="1"/>
  <c r="H58" i="6" a="1"/>
  <c r="H58" i="6" s="1"/>
  <c r="H57" i="6" a="1"/>
  <c r="H57" i="6" s="1"/>
  <c r="H56" i="6" a="1"/>
  <c r="H56" i="6" s="1"/>
  <c r="H55" i="6"/>
  <c r="H54" i="6" a="1"/>
  <c r="H54" i="6" s="1"/>
  <c r="H53" i="6"/>
  <c r="H52" i="6"/>
  <c r="H51" i="6"/>
  <c r="H50" i="6"/>
  <c r="H49" i="6"/>
  <c r="H48" i="6"/>
  <c r="H47" i="6" a="1"/>
  <c r="H47" i="6" s="1"/>
  <c r="H46" i="6" a="1"/>
  <c r="H46" i="6" s="1"/>
  <c r="H112" i="7" a="1"/>
  <c r="H112" i="7" s="1"/>
  <c r="H111" i="7" a="1"/>
  <c r="H111" i="7" s="1"/>
  <c r="H110" i="7" a="1"/>
  <c r="H110" i="7" s="1"/>
  <c r="H109" i="7" a="1"/>
  <c r="H109" i="7" s="1"/>
  <c r="H108" i="7" a="1"/>
  <c r="H108" i="7" s="1"/>
  <c r="H107" i="7" a="1"/>
  <c r="H107" i="7" s="1"/>
  <c r="H106" i="7" a="1"/>
  <c r="H106" i="7" s="1"/>
  <c r="H105" i="7" a="1"/>
  <c r="H105" i="7" s="1"/>
  <c r="H104" i="7" a="1"/>
  <c r="H104" i="7" s="1"/>
  <c r="H103" i="7" a="1"/>
  <c r="H103" i="7" s="1"/>
  <c r="H102" i="7" a="1"/>
  <c r="H102" i="7" s="1"/>
  <c r="H101" i="7" a="1"/>
  <c r="H101" i="7" s="1"/>
  <c r="H100" i="7" a="1"/>
  <c r="H100" i="7" s="1"/>
  <c r="H99" i="7" a="1"/>
  <c r="H99" i="7" s="1"/>
  <c r="H98" i="7" a="1"/>
  <c r="H98" i="7" s="1"/>
  <c r="H97" i="7" a="1"/>
  <c r="H97" i="7" s="1"/>
  <c r="H96" i="7" a="1"/>
  <c r="H96" i="7" s="1"/>
  <c r="H94" i="7" a="1"/>
  <c r="H94" i="7" s="1"/>
  <c r="H93" i="7" a="1"/>
  <c r="H93" i="7" s="1"/>
  <c r="H92" i="7" a="1"/>
  <c r="H92" i="7" s="1"/>
  <c r="H91" i="7" a="1"/>
  <c r="H91" i="7" s="1"/>
  <c r="H90" i="7" a="1"/>
  <c r="H90" i="7" s="1"/>
  <c r="H89" i="7" a="1"/>
  <c r="H89" i="7" s="1"/>
  <c r="H88" i="7" a="1"/>
  <c r="H88" i="7" s="1"/>
  <c r="H87" i="7" a="1"/>
  <c r="H87" i="7" s="1"/>
  <c r="H86" i="7" a="1"/>
  <c r="H86" i="7" s="1"/>
  <c r="H85" i="7" a="1"/>
  <c r="H85" i="7" s="1"/>
  <c r="H84" i="7" a="1"/>
  <c r="H84" i="7" s="1"/>
  <c r="H83" i="7" a="1"/>
  <c r="H83" i="7" s="1"/>
  <c r="H82" i="7" a="1"/>
  <c r="H82" i="7" s="1"/>
  <c r="H81" i="7" a="1"/>
  <c r="H81" i="7" s="1"/>
  <c r="H80" i="7" a="1"/>
  <c r="H80" i="7" s="1"/>
  <c r="H79" i="7" a="1"/>
  <c r="H79" i="7" s="1"/>
  <c r="H78" i="7" a="1"/>
  <c r="H78" i="7" s="1"/>
  <c r="H77" i="7" a="1"/>
  <c r="H77" i="7" s="1"/>
  <c r="H76" i="7" a="1"/>
  <c r="H76" i="7" s="1"/>
  <c r="H75" i="7" a="1"/>
  <c r="H75" i="7" s="1"/>
  <c r="H74" i="7" a="1"/>
  <c r="H74" i="7" s="1"/>
  <c r="H73" i="7" a="1"/>
  <c r="H73" i="7" s="1"/>
  <c r="H72" i="7" a="1"/>
  <c r="H72" i="7" s="1"/>
  <c r="H71" i="7" a="1"/>
  <c r="H71" i="7" s="1"/>
  <c r="H70" i="7" a="1"/>
  <c r="H70" i="7" s="1"/>
  <c r="H69" i="7" a="1"/>
  <c r="H69" i="7" s="1"/>
  <c r="H68" i="7" a="1"/>
  <c r="H68" i="7" s="1"/>
  <c r="H67" i="7" a="1"/>
  <c r="H67" i="7" s="1"/>
  <c r="H66" i="7" a="1"/>
  <c r="H66" i="7" s="1"/>
  <c r="H65" i="7" a="1"/>
  <c r="H65" i="7" s="1"/>
  <c r="H64" i="7" a="1"/>
  <c r="H64" i="7" s="1"/>
  <c r="H63" i="7" a="1"/>
  <c r="H63" i="7" s="1"/>
  <c r="H62" i="7" a="1"/>
  <c r="H62" i="7" s="1"/>
  <c r="H61" i="7" a="1"/>
  <c r="H61" i="7" s="1"/>
  <c r="H60" i="7" a="1"/>
  <c r="H60" i="7" s="1"/>
  <c r="H59" i="7" a="1"/>
  <c r="H59" i="7" s="1"/>
  <c r="H58" i="7" a="1"/>
  <c r="H58" i="7" s="1"/>
  <c r="H57" i="7" a="1"/>
  <c r="H57" i="7" s="1"/>
  <c r="H56" i="7" a="1"/>
  <c r="H56" i="7" s="1"/>
  <c r="H55" i="7"/>
  <c r="H54" i="7" a="1"/>
  <c r="H54" i="7" s="1"/>
  <c r="H53" i="7"/>
  <c r="H52" i="7"/>
  <c r="H51" i="7"/>
  <c r="H50" i="7"/>
  <c r="H49" i="7"/>
  <c r="H48" i="7"/>
  <c r="H47" i="7" a="1"/>
  <c r="H47" i="7" s="1"/>
  <c r="H46" i="7" a="1"/>
  <c r="H46" i="7" s="1"/>
  <c r="H112" i="8" a="1"/>
  <c r="H112" i="8" s="1"/>
  <c r="H111" i="8" a="1"/>
  <c r="H111" i="8" s="1"/>
  <c r="H110" i="8" a="1"/>
  <c r="H110" i="8" s="1"/>
  <c r="H109" i="8" a="1"/>
  <c r="H109" i="8" s="1"/>
  <c r="H108" i="8" a="1"/>
  <c r="H108" i="8" s="1"/>
  <c r="H107" i="8" a="1"/>
  <c r="H107" i="8" s="1"/>
  <c r="H106" i="8" a="1"/>
  <c r="H106" i="8" s="1"/>
  <c r="H105" i="8" a="1"/>
  <c r="H105" i="8" s="1"/>
  <c r="H104" i="8" a="1"/>
  <c r="H104" i="8" s="1"/>
  <c r="H103" i="8" a="1"/>
  <c r="H103" i="8" s="1"/>
  <c r="H102" i="8" a="1"/>
  <c r="H102" i="8" s="1"/>
  <c r="H101" i="8" a="1"/>
  <c r="H101" i="8" s="1"/>
  <c r="H100" i="8" a="1"/>
  <c r="H100" i="8" s="1"/>
  <c r="H99" i="8" a="1"/>
  <c r="H99" i="8" s="1"/>
  <c r="H98" i="8" a="1"/>
  <c r="H98" i="8" s="1"/>
  <c r="H97" i="8" a="1"/>
  <c r="H97" i="8" s="1"/>
  <c r="H96" i="8" a="1"/>
  <c r="H96" i="8" s="1"/>
  <c r="H94" i="8" a="1"/>
  <c r="H94" i="8" s="1"/>
  <c r="H93" i="8" a="1"/>
  <c r="H93" i="8" s="1"/>
  <c r="H92" i="8" a="1"/>
  <c r="H92" i="8" s="1"/>
  <c r="H91" i="8" a="1"/>
  <c r="H91" i="8" s="1"/>
  <c r="H90" i="8" a="1"/>
  <c r="H90" i="8" s="1"/>
  <c r="H89" i="8" a="1"/>
  <c r="H89" i="8" s="1"/>
  <c r="H88" i="8" a="1"/>
  <c r="H88" i="8" s="1"/>
  <c r="H87" i="8" a="1"/>
  <c r="H87" i="8" s="1"/>
  <c r="H86" i="8" a="1"/>
  <c r="H86" i="8" s="1"/>
  <c r="H85" i="8" a="1"/>
  <c r="H85" i="8" s="1"/>
  <c r="H84" i="8" a="1"/>
  <c r="H84" i="8" s="1"/>
  <c r="H83" i="8" a="1"/>
  <c r="H83" i="8" s="1"/>
  <c r="H82" i="8" a="1"/>
  <c r="H82" i="8" s="1"/>
  <c r="H81" i="8" a="1"/>
  <c r="H81" i="8" s="1"/>
  <c r="H80" i="8" a="1"/>
  <c r="H80" i="8" s="1"/>
  <c r="H79" i="8" a="1"/>
  <c r="H79" i="8" s="1"/>
  <c r="H78" i="8" a="1"/>
  <c r="H78" i="8" s="1"/>
  <c r="H77" i="8" a="1"/>
  <c r="H77" i="8" s="1"/>
  <c r="H76" i="8" a="1"/>
  <c r="H76" i="8" s="1"/>
  <c r="H75" i="8" a="1"/>
  <c r="H75" i="8" s="1"/>
  <c r="H74" i="8" a="1"/>
  <c r="H74" i="8" s="1"/>
  <c r="H73" i="8" a="1"/>
  <c r="H73" i="8" s="1"/>
  <c r="H72" i="8" a="1"/>
  <c r="H72" i="8" s="1"/>
  <c r="H71" i="8" a="1"/>
  <c r="H71" i="8" s="1"/>
  <c r="H70" i="8" a="1"/>
  <c r="H70" i="8" s="1"/>
  <c r="H69" i="8" a="1"/>
  <c r="H69" i="8" s="1"/>
  <c r="H68" i="8" a="1"/>
  <c r="H68" i="8" s="1"/>
  <c r="H67" i="8" a="1"/>
  <c r="H67" i="8" s="1"/>
  <c r="H66" i="8" a="1"/>
  <c r="H66" i="8" s="1"/>
  <c r="H65" i="8" a="1"/>
  <c r="H65" i="8" s="1"/>
  <c r="H64" i="8" a="1"/>
  <c r="H64" i="8" s="1"/>
  <c r="H63" i="8" a="1"/>
  <c r="H63" i="8" s="1"/>
  <c r="H62" i="8" a="1"/>
  <c r="H62" i="8" s="1"/>
  <c r="H61" i="8" a="1"/>
  <c r="H61" i="8" s="1"/>
  <c r="H60" i="8" a="1"/>
  <c r="H60" i="8" s="1"/>
  <c r="H59" i="8" a="1"/>
  <c r="H59" i="8" s="1"/>
  <c r="H58" i="8" a="1"/>
  <c r="H58" i="8" s="1"/>
  <c r="H57" i="8" a="1"/>
  <c r="H57" i="8" s="1"/>
  <c r="H56" i="8" a="1"/>
  <c r="H56" i="8" s="1"/>
  <c r="H55" i="8"/>
  <c r="H54" i="8" a="1"/>
  <c r="H54" i="8" s="1"/>
  <c r="H53" i="8"/>
  <c r="H52" i="8"/>
  <c r="H51" i="8"/>
  <c r="H50" i="8"/>
  <c r="H49" i="8"/>
  <c r="H48" i="8"/>
  <c r="H47" i="8" a="1"/>
  <c r="H47" i="8" s="1"/>
  <c r="H46" i="8" a="1"/>
  <c r="H46" i="8" s="1"/>
  <c r="H112" i="9" a="1"/>
  <c r="H112" i="9" s="1"/>
  <c r="H111" i="9" a="1"/>
  <c r="H111" i="9" s="1"/>
  <c r="H110" i="9" a="1"/>
  <c r="H110" i="9" s="1"/>
  <c r="H109" i="9" a="1"/>
  <c r="H109" i="9" s="1"/>
  <c r="H108" i="9" a="1"/>
  <c r="H108" i="9" s="1"/>
  <c r="H107" i="9" a="1"/>
  <c r="H107" i="9" s="1"/>
  <c r="H106" i="9" a="1"/>
  <c r="H106" i="9" s="1"/>
  <c r="H105" i="9" a="1"/>
  <c r="H105" i="9" s="1"/>
  <c r="H104" i="9" a="1"/>
  <c r="H104" i="9" s="1"/>
  <c r="H103" i="9" a="1"/>
  <c r="H103" i="9" s="1"/>
  <c r="H102" i="9" a="1"/>
  <c r="H102" i="9" s="1"/>
  <c r="H101" i="9" a="1"/>
  <c r="H101" i="9" s="1"/>
  <c r="H100" i="9" a="1"/>
  <c r="H100" i="9" s="1"/>
  <c r="H99" i="9" a="1"/>
  <c r="H99" i="9" s="1"/>
  <c r="H98" i="9" a="1"/>
  <c r="H98" i="9" s="1"/>
  <c r="H97" i="9" a="1"/>
  <c r="H97" i="9" s="1"/>
  <c r="H96" i="9" a="1"/>
  <c r="H96" i="9" s="1"/>
  <c r="H94" i="9" a="1"/>
  <c r="H94" i="9" s="1"/>
  <c r="H93" i="9" a="1"/>
  <c r="H93" i="9" s="1"/>
  <c r="H92" i="9" a="1"/>
  <c r="H92" i="9" s="1"/>
  <c r="H91" i="9" a="1"/>
  <c r="H91" i="9" s="1"/>
  <c r="H90" i="9" a="1"/>
  <c r="H90" i="9" s="1"/>
  <c r="H89" i="9" a="1"/>
  <c r="H89" i="9" s="1"/>
  <c r="H88" i="9" a="1"/>
  <c r="H88" i="9" s="1"/>
  <c r="H87" i="9" a="1"/>
  <c r="H87" i="9" s="1"/>
  <c r="H86" i="9" a="1"/>
  <c r="H86" i="9" s="1"/>
  <c r="H85" i="9" a="1"/>
  <c r="H85" i="9" s="1"/>
  <c r="H84" i="9" a="1"/>
  <c r="H84" i="9" s="1"/>
  <c r="H83" i="9" a="1"/>
  <c r="H83" i="9" s="1"/>
  <c r="H82" i="9" a="1"/>
  <c r="H82" i="9" s="1"/>
  <c r="H81" i="9" a="1"/>
  <c r="H81" i="9" s="1"/>
  <c r="H80" i="9" a="1"/>
  <c r="H80" i="9" s="1"/>
  <c r="H79" i="9" a="1"/>
  <c r="H79" i="9" s="1"/>
  <c r="H78" i="9" a="1"/>
  <c r="H78" i="9" s="1"/>
  <c r="H77" i="9" a="1"/>
  <c r="H77" i="9" s="1"/>
  <c r="H76" i="9" a="1"/>
  <c r="H76" i="9" s="1"/>
  <c r="H75" i="9" a="1"/>
  <c r="H75" i="9" s="1"/>
  <c r="H74" i="9" a="1"/>
  <c r="H74" i="9" s="1"/>
  <c r="H73" i="9" a="1"/>
  <c r="H73" i="9" s="1"/>
  <c r="H72" i="9" a="1"/>
  <c r="H72" i="9" s="1"/>
  <c r="H71" i="9" a="1"/>
  <c r="H71" i="9" s="1"/>
  <c r="H70" i="9" a="1"/>
  <c r="H70" i="9" s="1"/>
  <c r="H69" i="9" a="1"/>
  <c r="H69" i="9" s="1"/>
  <c r="H68" i="9" a="1"/>
  <c r="H68" i="9" s="1"/>
  <c r="H67" i="9" a="1"/>
  <c r="H67" i="9" s="1"/>
  <c r="H66" i="9" a="1"/>
  <c r="H66" i="9" s="1"/>
  <c r="H65" i="9" a="1"/>
  <c r="H65" i="9" s="1"/>
  <c r="H64" i="9" a="1"/>
  <c r="H64" i="9" s="1"/>
  <c r="H63" i="9" a="1"/>
  <c r="H63" i="9" s="1"/>
  <c r="H62" i="9" a="1"/>
  <c r="H62" i="9" s="1"/>
  <c r="H61" i="9" a="1"/>
  <c r="H61" i="9" s="1"/>
  <c r="H60" i="9" a="1"/>
  <c r="H60" i="9" s="1"/>
  <c r="H59" i="9" a="1"/>
  <c r="H59" i="9" s="1"/>
  <c r="H58" i="9" a="1"/>
  <c r="H58" i="9" s="1"/>
  <c r="H57" i="9" a="1"/>
  <c r="H57" i="9" s="1"/>
  <c r="H56" i="9" a="1"/>
  <c r="H56" i="9" s="1"/>
  <c r="H55" i="9"/>
  <c r="H54" i="9" a="1"/>
  <c r="H54" i="9" s="1"/>
  <c r="H53" i="9"/>
  <c r="H52" i="9"/>
  <c r="H51" i="9"/>
  <c r="H50" i="9"/>
  <c r="H49" i="9"/>
  <c r="H48" i="9"/>
  <c r="H47" i="9" a="1"/>
  <c r="H47" i="9" s="1"/>
  <c r="H46" i="9" a="1"/>
  <c r="H46" i="9" s="1"/>
  <c r="H112" i="10" a="1"/>
  <c r="H112" i="10" s="1"/>
  <c r="H111" i="10" a="1"/>
  <c r="H111" i="10" s="1"/>
  <c r="H110" i="10" a="1"/>
  <c r="H110" i="10" s="1"/>
  <c r="H109" i="10" a="1"/>
  <c r="H109" i="10" s="1"/>
  <c r="H108" i="10" a="1"/>
  <c r="H108" i="10" s="1"/>
  <c r="H107" i="10" a="1"/>
  <c r="H107" i="10" s="1"/>
  <c r="H106" i="10" a="1"/>
  <c r="H106" i="10" s="1"/>
  <c r="H105" i="10" a="1"/>
  <c r="H105" i="10" s="1"/>
  <c r="H104" i="10" a="1"/>
  <c r="H104" i="10" s="1"/>
  <c r="H103" i="10" a="1"/>
  <c r="H103" i="10" s="1"/>
  <c r="H102" i="10" a="1"/>
  <c r="H102" i="10" s="1"/>
  <c r="H101" i="10" a="1"/>
  <c r="H101" i="10" s="1"/>
  <c r="H100" i="10" a="1"/>
  <c r="H100" i="10" s="1"/>
  <c r="H99" i="10" a="1"/>
  <c r="H99" i="10" s="1"/>
  <c r="H98" i="10" a="1"/>
  <c r="H98" i="10" s="1"/>
  <c r="H97" i="10" a="1"/>
  <c r="H97" i="10" s="1"/>
  <c r="H96" i="10" a="1"/>
  <c r="H96" i="10" s="1"/>
  <c r="H94" i="10" a="1"/>
  <c r="H94" i="10" s="1"/>
  <c r="H93" i="10" a="1"/>
  <c r="H93" i="10" s="1"/>
  <c r="H92" i="10" a="1"/>
  <c r="H92" i="10" s="1"/>
  <c r="H91" i="10" a="1"/>
  <c r="H91" i="10" s="1"/>
  <c r="H90" i="10" a="1"/>
  <c r="H90" i="10" s="1"/>
  <c r="H89" i="10" a="1"/>
  <c r="H89" i="10" s="1"/>
  <c r="H88" i="10" a="1"/>
  <c r="H88" i="10" s="1"/>
  <c r="H87" i="10" a="1"/>
  <c r="H87" i="10" s="1"/>
  <c r="H86" i="10" a="1"/>
  <c r="H86" i="10" s="1"/>
  <c r="H85" i="10" a="1"/>
  <c r="H85" i="10" s="1"/>
  <c r="H84" i="10" a="1"/>
  <c r="H84" i="10" s="1"/>
  <c r="H83" i="10" a="1"/>
  <c r="H83" i="10" s="1"/>
  <c r="H82" i="10" a="1"/>
  <c r="H82" i="10" s="1"/>
  <c r="H81" i="10" a="1"/>
  <c r="H81" i="10" s="1"/>
  <c r="H80" i="10" a="1"/>
  <c r="H80" i="10" s="1"/>
  <c r="H79" i="10" a="1"/>
  <c r="H79" i="10" s="1"/>
  <c r="H78" i="10" a="1"/>
  <c r="H78" i="10" s="1"/>
  <c r="H77" i="10" a="1"/>
  <c r="H77" i="10" s="1"/>
  <c r="H76" i="10" a="1"/>
  <c r="H76" i="10" s="1"/>
  <c r="H75" i="10" a="1"/>
  <c r="H75" i="10" s="1"/>
  <c r="H74" i="10" a="1"/>
  <c r="H74" i="10" s="1"/>
  <c r="H73" i="10" a="1"/>
  <c r="H73" i="10" s="1"/>
  <c r="H72" i="10" a="1"/>
  <c r="H72" i="10" s="1"/>
  <c r="H71" i="10" a="1"/>
  <c r="H71" i="10" s="1"/>
  <c r="H70" i="10" a="1"/>
  <c r="H70" i="10" s="1"/>
  <c r="H69" i="10" a="1"/>
  <c r="H69" i="10" s="1"/>
  <c r="H68" i="10" a="1"/>
  <c r="H68" i="10" s="1"/>
  <c r="H67" i="10" a="1"/>
  <c r="H67" i="10" s="1"/>
  <c r="H66" i="10" a="1"/>
  <c r="H66" i="10" s="1"/>
  <c r="H65" i="10" a="1"/>
  <c r="H65" i="10" s="1"/>
  <c r="H64" i="10" a="1"/>
  <c r="H64" i="10" s="1"/>
  <c r="H63" i="10" a="1"/>
  <c r="H63" i="10" s="1"/>
  <c r="H62" i="10" a="1"/>
  <c r="H62" i="10" s="1"/>
  <c r="H61" i="10" a="1"/>
  <c r="H61" i="10" s="1"/>
  <c r="H60" i="10" a="1"/>
  <c r="H60" i="10" s="1"/>
  <c r="H59" i="10" a="1"/>
  <c r="H59" i="10" s="1"/>
  <c r="H58" i="10" a="1"/>
  <c r="H58" i="10" s="1"/>
  <c r="H57" i="10" a="1"/>
  <c r="H57" i="10" s="1"/>
  <c r="H56" i="10" a="1"/>
  <c r="H56" i="10" s="1"/>
  <c r="H55" i="10"/>
  <c r="H54" i="10" a="1"/>
  <c r="H54" i="10" s="1"/>
  <c r="H53" i="10"/>
  <c r="H52" i="10"/>
  <c r="H51" i="10"/>
  <c r="H50" i="10"/>
  <c r="H49" i="10"/>
  <c r="H48" i="10"/>
  <c r="H47" i="10" a="1"/>
  <c r="H47" i="10" s="1"/>
  <c r="H46" i="10" a="1"/>
  <c r="H46" i="10" s="1"/>
  <c r="H112" i="11" a="1"/>
  <c r="H112" i="11" s="1"/>
  <c r="H111" i="11" a="1"/>
  <c r="H111" i="11" s="1"/>
  <c r="H110" i="11" a="1"/>
  <c r="H110" i="11" s="1"/>
  <c r="H109" i="11" a="1"/>
  <c r="H109" i="11" s="1"/>
  <c r="H108" i="11" a="1"/>
  <c r="H108" i="11" s="1"/>
  <c r="H107" i="11" a="1"/>
  <c r="H107" i="11" s="1"/>
  <c r="H106" i="11" a="1"/>
  <c r="H106" i="11" s="1"/>
  <c r="H105" i="11" a="1"/>
  <c r="H105" i="11" s="1"/>
  <c r="H104" i="11" a="1"/>
  <c r="H104" i="11" s="1"/>
  <c r="H103" i="11" a="1"/>
  <c r="H103" i="11" s="1"/>
  <c r="H102" i="11" a="1"/>
  <c r="H102" i="11" s="1"/>
  <c r="H101" i="11" a="1"/>
  <c r="H101" i="11" s="1"/>
  <c r="H100" i="11" a="1"/>
  <c r="H100" i="11" s="1"/>
  <c r="H99" i="11" a="1"/>
  <c r="H99" i="11" s="1"/>
  <c r="H98" i="11" a="1"/>
  <c r="H98" i="11" s="1"/>
  <c r="H97" i="11" a="1"/>
  <c r="H97" i="11" s="1"/>
  <c r="H96" i="11" a="1"/>
  <c r="H96" i="11" s="1"/>
  <c r="H94" i="11" a="1"/>
  <c r="H94" i="11" s="1"/>
  <c r="H93" i="11" a="1"/>
  <c r="H93" i="11" s="1"/>
  <c r="H92" i="11" a="1"/>
  <c r="H92" i="11" s="1"/>
  <c r="H91" i="11" a="1"/>
  <c r="H91" i="11" s="1"/>
  <c r="H90" i="11" a="1"/>
  <c r="H90" i="11" s="1"/>
  <c r="H89" i="11" a="1"/>
  <c r="H89" i="11" s="1"/>
  <c r="H88" i="11" a="1"/>
  <c r="H88" i="11" s="1"/>
  <c r="H87" i="11" a="1"/>
  <c r="H87" i="11" s="1"/>
  <c r="H86" i="11" a="1"/>
  <c r="H86" i="11" s="1"/>
  <c r="H85" i="11" a="1"/>
  <c r="H85" i="11" s="1"/>
  <c r="H84" i="11" a="1"/>
  <c r="H84" i="11" s="1"/>
  <c r="H83" i="11" a="1"/>
  <c r="H83" i="11" s="1"/>
  <c r="H82" i="11" a="1"/>
  <c r="H82" i="11" s="1"/>
  <c r="H81" i="11" a="1"/>
  <c r="H81" i="11" s="1"/>
  <c r="H80" i="11" a="1"/>
  <c r="H80" i="11" s="1"/>
  <c r="H79" i="11" a="1"/>
  <c r="H79" i="11" s="1"/>
  <c r="H78" i="11" a="1"/>
  <c r="H78" i="11" s="1"/>
  <c r="H77" i="11" a="1"/>
  <c r="H77" i="11" s="1"/>
  <c r="H76" i="11" a="1"/>
  <c r="H76" i="11" s="1"/>
  <c r="H75" i="11" a="1"/>
  <c r="H75" i="11" s="1"/>
  <c r="H74" i="11" a="1"/>
  <c r="H74" i="11" s="1"/>
  <c r="H73" i="11" a="1"/>
  <c r="H73" i="11" s="1"/>
  <c r="H72" i="11" a="1"/>
  <c r="H72" i="11" s="1"/>
  <c r="H71" i="11" a="1"/>
  <c r="H71" i="11" s="1"/>
  <c r="H70" i="11" a="1"/>
  <c r="H70" i="11" s="1"/>
  <c r="H69" i="11" a="1"/>
  <c r="H69" i="11" s="1"/>
  <c r="H68" i="11" a="1"/>
  <c r="H68" i="11" s="1"/>
  <c r="H67" i="11" a="1"/>
  <c r="H67" i="11" s="1"/>
  <c r="H66" i="11" a="1"/>
  <c r="H66" i="11" s="1"/>
  <c r="H65" i="11" a="1"/>
  <c r="H65" i="11" s="1"/>
  <c r="H64" i="11" a="1"/>
  <c r="H64" i="11" s="1"/>
  <c r="H63" i="11" a="1"/>
  <c r="H63" i="11" s="1"/>
  <c r="H62" i="11" a="1"/>
  <c r="H62" i="11" s="1"/>
  <c r="H61" i="11" a="1"/>
  <c r="H61" i="11" s="1"/>
  <c r="H60" i="11" a="1"/>
  <c r="H60" i="11" s="1"/>
  <c r="H59" i="11" a="1"/>
  <c r="H59" i="11" s="1"/>
  <c r="H58" i="11" a="1"/>
  <c r="H58" i="11" s="1"/>
  <c r="H57" i="11" a="1"/>
  <c r="H57" i="11" s="1"/>
  <c r="H56" i="11" a="1"/>
  <c r="H56" i="11" s="1"/>
  <c r="H55" i="11"/>
  <c r="H54" i="11" a="1"/>
  <c r="H54" i="11" s="1"/>
  <c r="H53" i="11"/>
  <c r="H52" i="11"/>
  <c r="H51" i="11"/>
  <c r="H50" i="11"/>
  <c r="H49" i="11"/>
  <c r="H48" i="11"/>
  <c r="H47" i="11" a="1"/>
  <c r="H47" i="11" s="1"/>
  <c r="H46" i="11" a="1"/>
  <c r="H46" i="11" s="1"/>
  <c r="H112" i="12" a="1"/>
  <c r="H112" i="12" s="1"/>
  <c r="H111" i="12" a="1"/>
  <c r="H111" i="12" s="1"/>
  <c r="H110" i="12" a="1"/>
  <c r="H110" i="12" s="1"/>
  <c r="H109" i="12" a="1"/>
  <c r="H109" i="12" s="1"/>
  <c r="H108" i="12" a="1"/>
  <c r="H108" i="12" s="1"/>
  <c r="H107" i="12" a="1"/>
  <c r="H107" i="12" s="1"/>
  <c r="H106" i="12" a="1"/>
  <c r="H106" i="12" s="1"/>
  <c r="H105" i="12" a="1"/>
  <c r="H105" i="12" s="1"/>
  <c r="H104" i="12" a="1"/>
  <c r="H104" i="12" s="1"/>
  <c r="H103" i="12" a="1"/>
  <c r="H103" i="12" s="1"/>
  <c r="H102" i="12" a="1"/>
  <c r="H102" i="12" s="1"/>
  <c r="H101" i="12" a="1"/>
  <c r="H101" i="12" s="1"/>
  <c r="H100" i="12" a="1"/>
  <c r="H100" i="12" s="1"/>
  <c r="H99" i="12" a="1"/>
  <c r="H99" i="12" s="1"/>
  <c r="H98" i="12" a="1"/>
  <c r="H98" i="12" s="1"/>
  <c r="H97" i="12" a="1"/>
  <c r="H97" i="12" s="1"/>
  <c r="H96" i="12" a="1"/>
  <c r="H96" i="12" s="1"/>
  <c r="H94" i="12" a="1"/>
  <c r="H94" i="12" s="1"/>
  <c r="H93" i="12" a="1"/>
  <c r="H93" i="12" s="1"/>
  <c r="H92" i="12" a="1"/>
  <c r="H92" i="12" s="1"/>
  <c r="H91" i="12" a="1"/>
  <c r="H91" i="12" s="1"/>
  <c r="H90" i="12" a="1"/>
  <c r="H90" i="12" s="1"/>
  <c r="H89" i="12" a="1"/>
  <c r="H89" i="12" s="1"/>
  <c r="H88" i="12" a="1"/>
  <c r="H88" i="12" s="1"/>
  <c r="H87" i="12" a="1"/>
  <c r="H87" i="12" s="1"/>
  <c r="H86" i="12" a="1"/>
  <c r="H86" i="12" s="1"/>
  <c r="H85" i="12" a="1"/>
  <c r="H85" i="12" s="1"/>
  <c r="H84" i="12" a="1"/>
  <c r="H84" i="12" s="1"/>
  <c r="H83" i="12" a="1"/>
  <c r="H83" i="12" s="1"/>
  <c r="H82" i="12" a="1"/>
  <c r="H82" i="12" s="1"/>
  <c r="H81" i="12" a="1"/>
  <c r="H81" i="12" s="1"/>
  <c r="H80" i="12" a="1"/>
  <c r="H80" i="12" s="1"/>
  <c r="H79" i="12" a="1"/>
  <c r="H79" i="12" s="1"/>
  <c r="H78" i="12" a="1"/>
  <c r="H78" i="12" s="1"/>
  <c r="H77" i="12" a="1"/>
  <c r="H77" i="12" s="1"/>
  <c r="H76" i="12" a="1"/>
  <c r="H76" i="12" s="1"/>
  <c r="H75" i="12" a="1"/>
  <c r="H75" i="12" s="1"/>
  <c r="H74" i="12" a="1"/>
  <c r="H74" i="12" s="1"/>
  <c r="H73" i="12" a="1"/>
  <c r="H73" i="12" s="1"/>
  <c r="H72" i="12" a="1"/>
  <c r="H72" i="12" s="1"/>
  <c r="H71" i="12" a="1"/>
  <c r="H71" i="12" s="1"/>
  <c r="H70" i="12" a="1"/>
  <c r="H70" i="12" s="1"/>
  <c r="H69" i="12" a="1"/>
  <c r="H69" i="12" s="1"/>
  <c r="H68" i="12" a="1"/>
  <c r="H68" i="12" s="1"/>
  <c r="H67" i="12" a="1"/>
  <c r="H67" i="12" s="1"/>
  <c r="H66" i="12" a="1"/>
  <c r="H66" i="12" s="1"/>
  <c r="H65" i="12" a="1"/>
  <c r="H65" i="12" s="1"/>
  <c r="H64" i="12" a="1"/>
  <c r="H64" i="12" s="1"/>
  <c r="H63" i="12" a="1"/>
  <c r="H63" i="12" s="1"/>
  <c r="H62" i="12" a="1"/>
  <c r="H62" i="12" s="1"/>
  <c r="H61" i="12" a="1"/>
  <c r="H61" i="12" s="1"/>
  <c r="H60" i="12" a="1"/>
  <c r="H60" i="12" s="1"/>
  <c r="H59" i="12" a="1"/>
  <c r="H59" i="12" s="1"/>
  <c r="H58" i="12" a="1"/>
  <c r="H58" i="12" s="1"/>
  <c r="H57" i="12" a="1"/>
  <c r="H57" i="12" s="1"/>
  <c r="H56" i="12" a="1"/>
  <c r="H56" i="12" s="1"/>
  <c r="H55" i="12"/>
  <c r="H54" i="12"/>
  <c r="H53" i="12"/>
  <c r="H52" i="12"/>
  <c r="H51" i="12"/>
  <c r="H50" i="12"/>
  <c r="H49" i="12"/>
  <c r="H48" i="12"/>
  <c r="H47" i="12" a="1"/>
  <c r="H47" i="12" s="1"/>
  <c r="H46" i="12" a="1"/>
  <c r="H46" i="12" s="1"/>
  <c r="C112" i="3" l="1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46" i="4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46" i="5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46" i="6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46" i="7"/>
  <c r="C47" i="8" a="1"/>
  <c r="C47" i="8" s="1"/>
  <c r="C48" i="8" a="1"/>
  <c r="C48" i="8" s="1"/>
  <c r="C49" i="8" a="1"/>
  <c r="C49" i="8" s="1"/>
  <c r="C50" i="8" a="1"/>
  <c r="C50" i="8" s="1"/>
  <c r="C51" i="8" a="1"/>
  <c r="C51" i="8" s="1"/>
  <c r="C52" i="8" a="1"/>
  <c r="C52" i="8" s="1"/>
  <c r="C53" i="8" a="1"/>
  <c r="C53" i="8" s="1"/>
  <c r="C54" i="8" a="1"/>
  <c r="C54" i="8" s="1"/>
  <c r="C55" i="8" a="1"/>
  <c r="C55" i="8" s="1"/>
  <c r="C56" i="8" a="1"/>
  <c r="C56" i="8" s="1"/>
  <c r="C57" i="8" a="1"/>
  <c r="C57" i="8" s="1"/>
  <c r="C58" i="8" a="1"/>
  <c r="C58" i="8" s="1"/>
  <c r="C59" i="8" a="1"/>
  <c r="C59" i="8" s="1"/>
  <c r="C60" i="8" a="1"/>
  <c r="C60" i="8" s="1"/>
  <c r="C61" i="8" a="1"/>
  <c r="C61" i="8" s="1"/>
  <c r="C62" i="8" a="1"/>
  <c r="C62" i="8" s="1"/>
  <c r="C63" i="8" a="1"/>
  <c r="C63" i="8" s="1"/>
  <c r="C64" i="8" a="1"/>
  <c r="C64" i="8" s="1"/>
  <c r="C65" i="8" a="1"/>
  <c r="C65" i="8" s="1"/>
  <c r="C66" i="8" a="1"/>
  <c r="C66" i="8" s="1"/>
  <c r="C67" i="8" a="1"/>
  <c r="C67" i="8" s="1"/>
  <c r="C68" i="8" a="1"/>
  <c r="C68" i="8" s="1"/>
  <c r="C69" i="8" a="1"/>
  <c r="C69" i="8" s="1"/>
  <c r="C70" i="8" a="1"/>
  <c r="C70" i="8" s="1"/>
  <c r="C71" i="8" a="1"/>
  <c r="C71" i="8" s="1"/>
  <c r="C72" i="8" a="1"/>
  <c r="C72" i="8" s="1"/>
  <c r="C73" i="8" a="1"/>
  <c r="C73" i="8" s="1"/>
  <c r="C74" i="8" a="1"/>
  <c r="C74" i="8" s="1"/>
  <c r="C75" i="8" a="1"/>
  <c r="C75" i="8" s="1"/>
  <c r="C76" i="8" a="1"/>
  <c r="C76" i="8" s="1"/>
  <c r="C77" i="8" a="1"/>
  <c r="C77" i="8" s="1"/>
  <c r="C78" i="8" a="1"/>
  <c r="C78" i="8" s="1"/>
  <c r="C79" i="8" a="1"/>
  <c r="C79" i="8" s="1"/>
  <c r="C80" i="8" a="1"/>
  <c r="C80" i="8" s="1"/>
  <c r="C81" i="8" a="1"/>
  <c r="C81" i="8" s="1"/>
  <c r="C82" i="8" a="1"/>
  <c r="C82" i="8" s="1"/>
  <c r="C83" i="8" a="1"/>
  <c r="C83" i="8" s="1"/>
  <c r="C84" i="8" a="1"/>
  <c r="C84" i="8" s="1"/>
  <c r="C85" i="8" a="1"/>
  <c r="C85" i="8" s="1"/>
  <c r="C86" i="8" a="1"/>
  <c r="C86" i="8" s="1"/>
  <c r="C87" i="8" a="1"/>
  <c r="C87" i="8" s="1"/>
  <c r="C88" i="8" a="1"/>
  <c r="C88" i="8" s="1"/>
  <c r="C89" i="8" a="1"/>
  <c r="C89" i="8" s="1"/>
  <c r="C90" i="8" a="1"/>
  <c r="C90" i="8" s="1"/>
  <c r="C91" i="8" a="1"/>
  <c r="C91" i="8" s="1"/>
  <c r="C92" i="8" a="1"/>
  <c r="C92" i="8" s="1"/>
  <c r="C93" i="8" a="1"/>
  <c r="C93" i="8" s="1"/>
  <c r="C94" i="8" a="1"/>
  <c r="C94" i="8" s="1"/>
  <c r="C96" i="8" a="1"/>
  <c r="C96" i="8" s="1"/>
  <c r="C97" i="8" a="1"/>
  <c r="C97" i="8" s="1"/>
  <c r="C98" i="8" a="1"/>
  <c r="C98" i="8" s="1"/>
  <c r="C99" i="8" a="1"/>
  <c r="C99" i="8" s="1"/>
  <c r="C100" i="8" a="1"/>
  <c r="C100" i="8" s="1"/>
  <c r="C101" i="8" a="1"/>
  <c r="C101" i="8" s="1"/>
  <c r="C102" i="8" a="1"/>
  <c r="C102" i="8" s="1"/>
  <c r="C103" i="8" a="1"/>
  <c r="C103" i="8" s="1"/>
  <c r="C104" i="8" a="1"/>
  <c r="C104" i="8" s="1"/>
  <c r="C105" i="8" a="1"/>
  <c r="C105" i="8" s="1"/>
  <c r="C106" i="8" a="1"/>
  <c r="C106" i="8" s="1"/>
  <c r="C107" i="8" a="1"/>
  <c r="C107" i="8" s="1"/>
  <c r="C108" i="8" a="1"/>
  <c r="C108" i="8" s="1"/>
  <c r="C109" i="8" a="1"/>
  <c r="C109" i="8" s="1"/>
  <c r="C110" i="8" a="1"/>
  <c r="C110" i="8" s="1"/>
  <c r="C111" i="8" a="1"/>
  <c r="C111" i="8" s="1"/>
  <c r="C112" i="8" a="1"/>
  <c r="C112" i="8" s="1"/>
  <c r="C46" i="8" a="1"/>
  <c r="C46" i="8" s="1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C77" i="9"/>
  <c r="C78" i="9"/>
  <c r="C79" i="9"/>
  <c r="C80" i="9"/>
  <c r="C81" i="9"/>
  <c r="C82" i="9"/>
  <c r="C83" i="9"/>
  <c r="C84" i="9"/>
  <c r="C85" i="9"/>
  <c r="C86" i="9"/>
  <c r="C87" i="9"/>
  <c r="C88" i="9"/>
  <c r="C89" i="9"/>
  <c r="C90" i="9"/>
  <c r="C91" i="9"/>
  <c r="C92" i="9"/>
  <c r="C93" i="9"/>
  <c r="C94" i="9"/>
  <c r="C96" i="9"/>
  <c r="C97" i="9"/>
  <c r="C98" i="9"/>
  <c r="C99" i="9"/>
  <c r="C100" i="9"/>
  <c r="C101" i="9"/>
  <c r="C102" i="9"/>
  <c r="C103" i="9"/>
  <c r="C104" i="9"/>
  <c r="C105" i="9"/>
  <c r="C106" i="9"/>
  <c r="C107" i="9"/>
  <c r="C108" i="9"/>
  <c r="C109" i="9"/>
  <c r="C110" i="9"/>
  <c r="C111" i="9"/>
  <c r="C112" i="9"/>
  <c r="C46" i="9"/>
  <c r="C47" i="10"/>
  <c r="C48" i="10"/>
  <c r="C49" i="10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3" i="10"/>
  <c r="C64" i="10"/>
  <c r="C65" i="10"/>
  <c r="C66" i="10"/>
  <c r="C67" i="10"/>
  <c r="C68" i="10"/>
  <c r="C69" i="10"/>
  <c r="C70" i="10"/>
  <c r="C71" i="10"/>
  <c r="C72" i="10"/>
  <c r="C73" i="10"/>
  <c r="C74" i="10"/>
  <c r="C75" i="10"/>
  <c r="C76" i="10"/>
  <c r="C77" i="10"/>
  <c r="C78" i="10"/>
  <c r="C79" i="10"/>
  <c r="C80" i="10"/>
  <c r="C81" i="10"/>
  <c r="C82" i="10"/>
  <c r="C83" i="10"/>
  <c r="C84" i="10"/>
  <c r="C85" i="10"/>
  <c r="C86" i="10"/>
  <c r="C87" i="10"/>
  <c r="C88" i="10"/>
  <c r="C89" i="10"/>
  <c r="C90" i="10"/>
  <c r="C91" i="10"/>
  <c r="C92" i="10"/>
  <c r="C93" i="10"/>
  <c r="C94" i="10"/>
  <c r="C96" i="10"/>
  <c r="C97" i="10"/>
  <c r="C98" i="10"/>
  <c r="C99" i="10"/>
  <c r="C100" i="10"/>
  <c r="C101" i="10"/>
  <c r="C102" i="10"/>
  <c r="C103" i="10"/>
  <c r="C104" i="10"/>
  <c r="C105" i="10"/>
  <c r="C106" i="10"/>
  <c r="C107" i="10"/>
  <c r="C108" i="10"/>
  <c r="C109" i="10"/>
  <c r="C110" i="10"/>
  <c r="C111" i="10"/>
  <c r="C112" i="10"/>
  <c r="C46" i="10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92" i="11"/>
  <c r="C93" i="11"/>
  <c r="C94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112" i="11"/>
  <c r="C46" i="11"/>
  <c r="C47" i="12"/>
  <c r="C48" i="12"/>
  <c r="C49" i="12"/>
  <c r="C51" i="12"/>
  <c r="C52" i="12"/>
  <c r="C53" i="12"/>
  <c r="C54" i="12"/>
  <c r="C55" i="12"/>
  <c r="C56" i="12"/>
  <c r="C57" i="12"/>
  <c r="C58" i="12"/>
  <c r="C59" i="12"/>
  <c r="C60" i="12"/>
  <c r="C61" i="12"/>
  <c r="C62" i="12"/>
  <c r="C63" i="12"/>
  <c r="C64" i="12"/>
  <c r="C65" i="12"/>
  <c r="C66" i="12"/>
  <c r="C67" i="12"/>
  <c r="C68" i="12"/>
  <c r="C69" i="12"/>
  <c r="C70" i="12"/>
  <c r="C71" i="12"/>
  <c r="C72" i="12"/>
  <c r="C73" i="12"/>
  <c r="C74" i="12"/>
  <c r="C75" i="12"/>
  <c r="C76" i="12"/>
  <c r="C77" i="12"/>
  <c r="C78" i="12"/>
  <c r="C79" i="12"/>
  <c r="C80" i="12"/>
  <c r="C81" i="12"/>
  <c r="C82" i="12"/>
  <c r="C83" i="12"/>
  <c r="C84" i="12"/>
  <c r="C85" i="12"/>
  <c r="C86" i="12"/>
  <c r="C87" i="12"/>
  <c r="C88" i="12"/>
  <c r="C89" i="12"/>
  <c r="C90" i="12"/>
  <c r="C91" i="12"/>
  <c r="C92" i="12"/>
  <c r="C93" i="12"/>
  <c r="C94" i="12"/>
  <c r="C96" i="12"/>
  <c r="C97" i="12"/>
  <c r="C98" i="12"/>
  <c r="C99" i="12"/>
  <c r="C100" i="12"/>
  <c r="C101" i="12"/>
  <c r="C102" i="12"/>
  <c r="C103" i="12"/>
  <c r="C104" i="12"/>
  <c r="C105" i="12"/>
  <c r="C106" i="12"/>
  <c r="C107" i="12"/>
  <c r="C108" i="12"/>
  <c r="C109" i="12"/>
  <c r="C110" i="12"/>
  <c r="C111" i="12"/>
  <c r="C112" i="12"/>
  <c r="C46" i="12"/>
  <c r="C47" i="2" a="1"/>
  <c r="C47" i="2" s="1"/>
  <c r="C48" i="2" a="1"/>
  <c r="C48" i="2" s="1"/>
  <c r="C49" i="2" a="1"/>
  <c r="C49" i="2" s="1"/>
  <c r="C50" i="2" a="1"/>
  <c r="C50" i="2" s="1"/>
  <c r="C51" i="2" a="1"/>
  <c r="C51" i="2" s="1"/>
  <c r="C52" i="2" a="1"/>
  <c r="C52" i="2" s="1"/>
  <c r="C53" i="2" a="1"/>
  <c r="C53" i="2" s="1"/>
  <c r="C54" i="2" a="1"/>
  <c r="C54" i="2" s="1"/>
  <c r="C55" i="2" a="1"/>
  <c r="C55" i="2" s="1"/>
  <c r="C56" i="2" a="1"/>
  <c r="C56" i="2" s="1"/>
  <c r="C57" i="2" a="1"/>
  <c r="C57" i="2" s="1"/>
  <c r="C58" i="2" a="1"/>
  <c r="C58" i="2" s="1"/>
  <c r="C59" i="2" a="1"/>
  <c r="C59" i="2" s="1"/>
  <c r="C60" i="2" a="1"/>
  <c r="C60" i="2" s="1"/>
  <c r="C61" i="2" a="1"/>
  <c r="C61" i="2" s="1"/>
  <c r="C62" i="2" a="1"/>
  <c r="C62" i="2" s="1"/>
  <c r="C63" i="2" a="1"/>
  <c r="C63" i="2" s="1"/>
  <c r="C64" i="2" a="1"/>
  <c r="C64" i="2" s="1"/>
  <c r="C65" i="2" a="1"/>
  <c r="C65" i="2" s="1"/>
  <c r="C66" i="2" a="1"/>
  <c r="C66" i="2" s="1"/>
  <c r="C67" i="2" a="1"/>
  <c r="C67" i="2" s="1"/>
  <c r="C68" i="2" a="1"/>
  <c r="C68" i="2" s="1"/>
  <c r="C69" i="2" a="1"/>
  <c r="C69" i="2" s="1"/>
  <c r="C70" i="2" a="1"/>
  <c r="C70" i="2" s="1"/>
  <c r="C71" i="2" a="1"/>
  <c r="C71" i="2" s="1"/>
  <c r="C72" i="2" a="1"/>
  <c r="C72" i="2" s="1"/>
  <c r="C73" i="2" a="1"/>
  <c r="C73" i="2" s="1"/>
  <c r="C74" i="2" a="1"/>
  <c r="C74" i="2" s="1"/>
  <c r="C75" i="2" a="1"/>
  <c r="C75" i="2" s="1"/>
  <c r="C76" i="2" a="1"/>
  <c r="C76" i="2" s="1"/>
  <c r="C77" i="2" a="1"/>
  <c r="C77" i="2" s="1"/>
  <c r="C78" i="2" a="1"/>
  <c r="C78" i="2" s="1"/>
  <c r="C79" i="2" a="1"/>
  <c r="C79" i="2" s="1"/>
  <c r="C80" i="2" a="1"/>
  <c r="C80" i="2" s="1"/>
  <c r="C81" i="2" a="1"/>
  <c r="C81" i="2" s="1"/>
  <c r="C82" i="2" a="1"/>
  <c r="C82" i="2" s="1"/>
  <c r="C83" i="2" a="1"/>
  <c r="C83" i="2" s="1"/>
  <c r="C84" i="2" a="1"/>
  <c r="C84" i="2" s="1"/>
  <c r="C85" i="2" a="1"/>
  <c r="C85" i="2" s="1"/>
  <c r="C86" i="2" a="1"/>
  <c r="C86" i="2" s="1"/>
  <c r="C87" i="2" a="1"/>
  <c r="C87" i="2" s="1"/>
  <c r="C88" i="2" a="1"/>
  <c r="C88" i="2" s="1"/>
  <c r="C89" i="2" a="1"/>
  <c r="C89" i="2" s="1"/>
  <c r="C90" i="2" a="1"/>
  <c r="C90" i="2" s="1"/>
  <c r="C91" i="2" a="1"/>
  <c r="C91" i="2" s="1"/>
  <c r="C92" i="2" a="1"/>
  <c r="C92" i="2" s="1"/>
  <c r="C93" i="2" a="1"/>
  <c r="C93" i="2" s="1"/>
  <c r="C94" i="2" a="1"/>
  <c r="C94" i="2" s="1"/>
  <c r="C96" i="2" a="1"/>
  <c r="C96" i="2" s="1"/>
  <c r="C97" i="2" a="1"/>
  <c r="C97" i="2" s="1"/>
  <c r="C98" i="2" a="1"/>
  <c r="C98" i="2" s="1"/>
  <c r="C99" i="2" a="1"/>
  <c r="C99" i="2" s="1"/>
  <c r="C100" i="2" a="1"/>
  <c r="C100" i="2" s="1"/>
  <c r="C101" i="2" a="1"/>
  <c r="C101" i="2" s="1"/>
  <c r="C102" i="2" a="1"/>
  <c r="C102" i="2" s="1"/>
  <c r="C103" i="2" a="1"/>
  <c r="C103" i="2" s="1"/>
  <c r="C104" i="2" a="1"/>
  <c r="C104" i="2" s="1"/>
  <c r="C105" i="2" a="1"/>
  <c r="C105" i="2" s="1"/>
  <c r="C106" i="2" a="1"/>
  <c r="C106" i="2" s="1"/>
  <c r="C107" i="2" a="1"/>
  <c r="C107" i="2" s="1"/>
  <c r="C108" i="2" a="1"/>
  <c r="C108" i="2" s="1"/>
  <c r="C109" i="2" a="1"/>
  <c r="C109" i="2" s="1"/>
  <c r="C110" i="2" a="1"/>
  <c r="C110" i="2" s="1"/>
  <c r="C111" i="2" a="1"/>
  <c r="C111" i="2" s="1"/>
  <c r="C112" i="2" a="1"/>
  <c r="C112" i="2" s="1"/>
  <c r="C46" i="2" a="1"/>
  <c r="C46" i="2" s="1"/>
  <c r="C91" i="1"/>
  <c r="I112" i="12"/>
  <c r="I112" i="11"/>
  <c r="I112" i="10"/>
  <c r="I112" i="9"/>
  <c r="I112" i="8"/>
  <c r="I112" i="7"/>
  <c r="I112" i="6"/>
  <c r="I112" i="5"/>
  <c r="I112" i="4"/>
  <c r="I112" i="3"/>
  <c r="I112" i="2"/>
  <c r="H112" i="1" a="1"/>
  <c r="H112" i="1" s="1"/>
  <c r="I112" i="1" s="1"/>
  <c r="H111" i="1" a="1"/>
  <c r="H111" i="1" s="1"/>
  <c r="H110" i="1" a="1"/>
  <c r="H110" i="1" s="1"/>
  <c r="H109" i="1" a="1"/>
  <c r="H109" i="1" s="1"/>
  <c r="H108" i="1" a="1"/>
  <c r="H108" i="1" s="1"/>
  <c r="H107" i="1" a="1"/>
  <c r="H107" i="1" s="1"/>
  <c r="H106" i="1" a="1"/>
  <c r="H106" i="1" s="1"/>
  <c r="H105" i="1" a="1"/>
  <c r="H105" i="1" s="1"/>
  <c r="H104" i="1" a="1"/>
  <c r="H104" i="1" s="1"/>
  <c r="H103" i="1" a="1"/>
  <c r="H103" i="1" s="1"/>
  <c r="H102" i="1" a="1"/>
  <c r="H102" i="1" s="1"/>
  <c r="H101" i="1" a="1"/>
  <c r="H101" i="1" s="1"/>
  <c r="H100" i="1" a="1"/>
  <c r="H100" i="1" s="1"/>
  <c r="H99" i="1" a="1"/>
  <c r="H99" i="1" s="1"/>
  <c r="H98" i="1" a="1"/>
  <c r="H98" i="1" s="1"/>
  <c r="H97" i="1" a="1"/>
  <c r="H97" i="1" s="1"/>
  <c r="H96" i="1" a="1"/>
  <c r="H96" i="1" s="1"/>
  <c r="H94" i="1" a="1"/>
  <c r="H94" i="1" s="1"/>
  <c r="H93" i="1" a="1"/>
  <c r="H93" i="1" s="1"/>
  <c r="H92" i="1" a="1"/>
  <c r="H92" i="1" s="1"/>
  <c r="H91" i="1" a="1"/>
  <c r="H91" i="1" s="1"/>
  <c r="H90" i="1" a="1"/>
  <c r="H90" i="1" s="1"/>
  <c r="H89" i="1" a="1"/>
  <c r="H89" i="1" s="1"/>
  <c r="H88" i="1" a="1"/>
  <c r="H88" i="1" s="1"/>
  <c r="H87" i="1" a="1"/>
  <c r="H87" i="1" s="1"/>
  <c r="H86" i="1" a="1"/>
  <c r="H86" i="1" s="1"/>
  <c r="H85" i="1" a="1"/>
  <c r="H85" i="1" s="1"/>
  <c r="H84" i="1" a="1"/>
  <c r="H84" i="1" s="1"/>
  <c r="H83" i="1" a="1"/>
  <c r="H83" i="1" s="1"/>
  <c r="H82" i="1" a="1"/>
  <c r="H82" i="1" s="1"/>
  <c r="H81" i="1" a="1"/>
  <c r="H81" i="1" s="1"/>
  <c r="H80" i="1" a="1"/>
  <c r="H80" i="1" s="1"/>
  <c r="H79" i="1" a="1"/>
  <c r="H79" i="1" s="1"/>
  <c r="H78" i="1" a="1"/>
  <c r="H78" i="1" s="1"/>
  <c r="H77" i="1" a="1"/>
  <c r="H77" i="1" s="1"/>
  <c r="H76" i="1" a="1"/>
  <c r="H76" i="1" s="1"/>
  <c r="H75" i="1" a="1"/>
  <c r="H75" i="1" s="1"/>
  <c r="H74" i="1" a="1"/>
  <c r="H74" i="1" s="1"/>
  <c r="H73" i="1" a="1"/>
  <c r="H73" i="1" s="1"/>
  <c r="H72" i="1" a="1"/>
  <c r="H72" i="1" s="1"/>
  <c r="H71" i="1" a="1"/>
  <c r="H71" i="1" s="1"/>
  <c r="H70" i="1" a="1"/>
  <c r="H70" i="1" s="1"/>
  <c r="H69" i="1" a="1"/>
  <c r="H69" i="1" s="1"/>
  <c r="H68" i="1" a="1"/>
  <c r="H68" i="1" s="1"/>
  <c r="H67" i="1" a="1"/>
  <c r="H67" i="1" s="1"/>
  <c r="H66" i="1" a="1"/>
  <c r="H66" i="1" s="1"/>
  <c r="H65" i="1" a="1"/>
  <c r="H65" i="1" s="1"/>
  <c r="H64" i="1" a="1"/>
  <c r="H64" i="1" s="1"/>
  <c r="H63" i="1" a="1"/>
  <c r="H63" i="1" s="1"/>
  <c r="H62" i="1" a="1"/>
  <c r="H62" i="1" s="1"/>
  <c r="H61" i="1" a="1"/>
  <c r="H61" i="1" s="1"/>
  <c r="H60" i="1" a="1"/>
  <c r="H60" i="1" s="1"/>
  <c r="H59" i="1" a="1"/>
  <c r="H59" i="1" s="1"/>
  <c r="H58" i="1" a="1"/>
  <c r="H58" i="1" s="1"/>
  <c r="H57" i="1" a="1"/>
  <c r="H57" i="1" s="1"/>
  <c r="H56" i="1" a="1"/>
  <c r="H56" i="1" s="1"/>
  <c r="H46" i="1" a="1"/>
  <c r="H46" i="1" s="1"/>
  <c r="H47" i="1" a="1"/>
  <c r="H47" i="1" s="1"/>
  <c r="H54" i="1" a="1"/>
  <c r="H54" i="1" s="1"/>
  <c r="H48" i="1"/>
  <c r="H49" i="1"/>
  <c r="H50" i="1"/>
  <c r="H51" i="1"/>
  <c r="H52" i="1"/>
  <c r="H53" i="1"/>
  <c r="H55" i="1"/>
  <c r="C112" i="1" l="1" a="1"/>
  <c r="C112" i="1" s="1"/>
  <c r="C111" i="1" a="1"/>
  <c r="C111" i="1" s="1"/>
  <c r="C110" i="1" a="1"/>
  <c r="C110" i="1" s="1"/>
  <c r="C109" i="1" a="1"/>
  <c r="C109" i="1" s="1"/>
  <c r="C108" i="1" a="1"/>
  <c r="C108" i="1" s="1"/>
  <c r="C107" i="1" a="1"/>
  <c r="C107" i="1" s="1"/>
  <c r="C106" i="1" a="1"/>
  <c r="C106" i="1" s="1"/>
  <c r="C105" i="1" a="1"/>
  <c r="C105" i="1" s="1"/>
  <c r="C104" i="1" a="1"/>
  <c r="C104" i="1" s="1"/>
  <c r="C103" i="1" a="1"/>
  <c r="C103" i="1" s="1"/>
  <c r="C102" i="1" a="1"/>
  <c r="C102" i="1" s="1"/>
  <c r="C101" i="1" a="1"/>
  <c r="C101" i="1" s="1"/>
  <c r="C100" i="1" a="1"/>
  <c r="C100" i="1" s="1"/>
  <c r="C99" i="1" a="1"/>
  <c r="C99" i="1" s="1"/>
  <c r="C98" i="1" a="1"/>
  <c r="C98" i="1" s="1"/>
  <c r="C97" i="1" a="1"/>
  <c r="C97" i="1" s="1"/>
  <c r="C96" i="1" a="1"/>
  <c r="C96" i="1" s="1"/>
  <c r="C94" i="1" a="1"/>
  <c r="C94" i="1" s="1"/>
  <c r="C93" i="1" a="1"/>
  <c r="C93" i="1" s="1"/>
  <c r="C92" i="1" a="1"/>
  <c r="C92" i="1" s="1"/>
  <c r="C90" i="1" a="1"/>
  <c r="C90" i="1" s="1"/>
  <c r="E90" i="1" s="1"/>
  <c r="C89" i="1" a="1"/>
  <c r="C89" i="1" s="1"/>
  <c r="C88" i="1" a="1"/>
  <c r="C88" i="1" s="1"/>
  <c r="C87" i="1" a="1"/>
  <c r="C87" i="1" s="1"/>
  <c r="C86" i="1" a="1"/>
  <c r="C86" i="1" s="1"/>
  <c r="C85" i="1" a="1"/>
  <c r="C85" i="1" s="1"/>
  <c r="C84" i="1" a="1"/>
  <c r="C84" i="1" s="1"/>
  <c r="C83" i="1" a="1"/>
  <c r="C83" i="1" s="1"/>
  <c r="C82" i="1" a="1"/>
  <c r="C82" i="1" s="1"/>
  <c r="C81" i="1" a="1"/>
  <c r="C81" i="1" s="1"/>
  <c r="C80" i="1" a="1"/>
  <c r="C80" i="1" s="1"/>
  <c r="C79" i="1" a="1"/>
  <c r="C79" i="1" s="1"/>
  <c r="C78" i="1" a="1"/>
  <c r="C78" i="1" s="1"/>
  <c r="C77" i="1" a="1"/>
  <c r="C77" i="1" s="1"/>
  <c r="C76" i="1" a="1"/>
  <c r="C76" i="1" s="1"/>
  <c r="C75" i="1" a="1"/>
  <c r="C75" i="1" s="1"/>
  <c r="C74" i="1" a="1"/>
  <c r="C74" i="1" s="1"/>
  <c r="C73" i="1" a="1"/>
  <c r="C73" i="1" s="1"/>
  <c r="C72" i="1"/>
  <c r="C71" i="1" a="1"/>
  <c r="C71" i="1" s="1"/>
  <c r="C70" i="1" a="1"/>
  <c r="C70" i="1" s="1"/>
  <c r="C69" i="1" a="1"/>
  <c r="C69" i="1" s="1"/>
  <c r="C68" i="1" a="1"/>
  <c r="C68" i="1" s="1"/>
  <c r="C67" i="1" a="1"/>
  <c r="C67" i="1" s="1"/>
  <c r="C66" i="1" a="1"/>
  <c r="C66" i="1" s="1"/>
  <c r="C65" i="1" a="1"/>
  <c r="C65" i="1" s="1"/>
  <c r="C64" i="1" a="1"/>
  <c r="C64" i="1" s="1"/>
  <c r="C63" i="1" a="1"/>
  <c r="C63" i="1" s="1"/>
  <c r="C62" i="1" a="1"/>
  <c r="C62" i="1" s="1"/>
  <c r="C61" i="1" a="1"/>
  <c r="C61" i="1" s="1"/>
  <c r="C60" i="1" a="1"/>
  <c r="C60" i="1" s="1"/>
  <c r="C59" i="1" a="1"/>
  <c r="C59" i="1" s="1"/>
  <c r="C58" i="1" a="1"/>
  <c r="C58" i="1" s="1"/>
  <c r="C57" i="1" a="1"/>
  <c r="C57" i="1" s="1"/>
  <c r="C56" i="1" a="1"/>
  <c r="C56" i="1" s="1"/>
  <c r="C55" i="1" a="1"/>
  <c r="C55" i="1" s="1"/>
  <c r="C54" i="1" a="1"/>
  <c r="C54" i="1" s="1"/>
  <c r="C53" i="1" a="1"/>
  <c r="C53" i="1" s="1"/>
  <c r="C52" i="1" a="1"/>
  <c r="C52" i="1" s="1"/>
  <c r="C51" i="1" a="1"/>
  <c r="C51" i="1" s="1"/>
  <c r="C50" i="1" a="1"/>
  <c r="C50" i="1" s="1"/>
  <c r="C49" i="1" a="1"/>
  <c r="C49" i="1" s="1"/>
  <c r="C48" i="1" a="1"/>
  <c r="C48" i="1" s="1"/>
  <c r="C47" i="1" a="1"/>
  <c r="C47" i="1" s="1"/>
  <c r="C46" i="1"/>
  <c r="E69" i="15"/>
  <c r="E70" i="15"/>
  <c r="S19" i="18"/>
  <c r="S20" i="18"/>
  <c r="E20" i="18"/>
  <c r="E19" i="18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E10" i="18" l="1" a="1"/>
  <c r="E10" i="18" s="1"/>
  <c r="E11" i="18" a="1"/>
  <c r="E11" i="18" s="1"/>
  <c r="E12" i="18" a="1"/>
  <c r="E12" i="18" s="1"/>
  <c r="E13" i="18" a="1"/>
  <c r="E13" i="18" s="1"/>
  <c r="E14" i="18" a="1"/>
  <c r="E14" i="18" s="1"/>
  <c r="E15" i="18" a="1"/>
  <c r="E15" i="18" s="1"/>
  <c r="E16" i="18" a="1"/>
  <c r="E16" i="18" s="1"/>
  <c r="E17" i="18" a="1"/>
  <c r="E17" i="18" s="1"/>
  <c r="E18" i="18" a="1"/>
  <c r="E18" i="18" s="1"/>
  <c r="E21" i="18" a="1"/>
  <c r="E21" i="18" s="1"/>
  <c r="E22" i="18" a="1"/>
  <c r="E22" i="18" s="1"/>
  <c r="E23" i="18" a="1"/>
  <c r="E23" i="18" s="1"/>
  <c r="E24" i="18" a="1"/>
  <c r="E24" i="18" s="1"/>
  <c r="E25" i="18" a="1"/>
  <c r="E25" i="18" s="1"/>
  <c r="E26" i="18" a="1"/>
  <c r="E26" i="18" s="1"/>
  <c r="E27" i="18" a="1"/>
  <c r="E27" i="18" s="1"/>
  <c r="E28" i="18" a="1"/>
  <c r="E28" i="18" s="1"/>
  <c r="E29" i="18" a="1"/>
  <c r="E29" i="18" s="1"/>
  <c r="E30" i="18" a="1"/>
  <c r="E30" i="18" s="1"/>
  <c r="E31" i="18" a="1"/>
  <c r="E31" i="18" s="1"/>
  <c r="E32" i="18" a="1"/>
  <c r="E32" i="18" s="1"/>
  <c r="E33" i="18" a="1"/>
  <c r="E33" i="18" s="1"/>
  <c r="E34" i="18" a="1"/>
  <c r="E34" i="18" s="1"/>
  <c r="E35" i="18" a="1"/>
  <c r="E35" i="18" s="1"/>
  <c r="E36" i="18" a="1"/>
  <c r="E36" i="18" s="1"/>
  <c r="E37" i="18" a="1"/>
  <c r="E37" i="18" s="1"/>
  <c r="E38" i="18" a="1"/>
  <c r="E38" i="18" s="1"/>
  <c r="E39" i="18" a="1"/>
  <c r="E39" i="18" s="1"/>
  <c r="E40" i="18" a="1"/>
  <c r="E40" i="18" s="1"/>
  <c r="E41" i="18" a="1"/>
  <c r="E41" i="18" s="1"/>
  <c r="E42" i="18" a="1"/>
  <c r="E42" i="18" s="1"/>
  <c r="E59" i="18" a="1"/>
  <c r="E59" i="18" s="1"/>
  <c r="E60" i="18" a="1"/>
  <c r="E60" i="18" s="1"/>
  <c r="E61" i="18" a="1"/>
  <c r="E61" i="18" s="1"/>
  <c r="E62" i="18" a="1"/>
  <c r="E62" i="18" s="1"/>
  <c r="E63" i="18" a="1"/>
  <c r="E63" i="18" s="1"/>
  <c r="E64" i="18" a="1"/>
  <c r="E64" i="18" s="1"/>
  <c r="E65" i="18" a="1"/>
  <c r="E65" i="18" s="1"/>
  <c r="E66" i="18" a="1"/>
  <c r="E66" i="18" s="1"/>
  <c r="E67" i="18" a="1"/>
  <c r="E67" i="18" s="1"/>
  <c r="E68" i="18" a="1"/>
  <c r="E68" i="18" s="1"/>
  <c r="E69" i="18" a="1"/>
  <c r="E69" i="18" s="1"/>
  <c r="E70" i="18" a="1"/>
  <c r="E70" i="18" s="1"/>
  <c r="T10" i="15"/>
  <c r="T11" i="15"/>
  <c r="T12" i="15"/>
  <c r="T13" i="15"/>
  <c r="T14" i="15"/>
  <c r="T15" i="15"/>
  <c r="T16" i="15"/>
  <c r="T17" i="15"/>
  <c r="T18" i="15"/>
  <c r="T19" i="15"/>
  <c r="T20" i="15"/>
  <c r="T21" i="15"/>
  <c r="T22" i="15"/>
  <c r="T23" i="15"/>
  <c r="T24" i="15"/>
  <c r="T25" i="15"/>
  <c r="T26" i="15"/>
  <c r="T27" i="15"/>
  <c r="T28" i="15"/>
  <c r="T29" i="15"/>
  <c r="T30" i="15"/>
  <c r="T31" i="15"/>
  <c r="T32" i="15"/>
  <c r="T33" i="15"/>
  <c r="T34" i="15"/>
  <c r="T35" i="15"/>
  <c r="T36" i="15"/>
  <c r="T37" i="15"/>
  <c r="T38" i="15"/>
  <c r="T39" i="15"/>
  <c r="T40" i="15"/>
  <c r="T41" i="15"/>
  <c r="T42" i="15"/>
  <c r="T43" i="15"/>
  <c r="T44" i="15"/>
  <c r="T45" i="15"/>
  <c r="T46" i="15"/>
  <c r="T47" i="15"/>
  <c r="T48" i="15"/>
  <c r="T49" i="15"/>
  <c r="T50" i="15"/>
  <c r="T65" i="15"/>
  <c r="T66" i="15"/>
  <c r="T67" i="15"/>
  <c r="T68" i="15"/>
  <c r="T69" i="15"/>
  <c r="T70" i="15"/>
  <c r="T71" i="15"/>
  <c r="D112" i="6" l="1"/>
  <c r="D112" i="8"/>
  <c r="D112" i="9"/>
  <c r="D112" i="10"/>
  <c r="D112" i="11"/>
  <c r="D112" i="12"/>
  <c r="D112" i="2"/>
  <c r="D112" i="3"/>
  <c r="D112" i="4"/>
  <c r="D112" i="7"/>
  <c r="D112" i="5"/>
  <c r="D112" i="1"/>
  <c r="C23" i="3" l="1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23" i="8"/>
  <c r="C22" i="8"/>
  <c r="C21" i="8"/>
  <c r="C20" i="8"/>
  <c r="C19" i="8"/>
  <c r="C18" i="8"/>
  <c r="C17" i="8"/>
  <c r="C16" i="8"/>
  <c r="C15" i="8"/>
  <c r="C14" i="8"/>
  <c r="C13" i="8"/>
  <c r="C12" i="8"/>
  <c r="C11" i="8"/>
  <c r="C10" i="8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10" i="11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10" i="1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10" i="2"/>
  <c r="C24" i="1"/>
  <c r="C24" i="11" l="1"/>
  <c r="C24" i="5"/>
  <c r="A11" i="13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A35" i="13" s="1"/>
  <c r="A11" i="12" l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11" i="1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11" i="10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11" i="9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11" i="8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11" i="7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11" i="6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11" i="5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11" i="4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11" i="3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11" i="2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C24" i="3" l="1"/>
  <c r="C24" i="9"/>
  <c r="C24" i="2"/>
  <c r="C24" i="6"/>
  <c r="C24" i="10"/>
  <c r="C24" i="4"/>
  <c r="C24" i="7"/>
  <c r="C24" i="8"/>
  <c r="C24" i="12"/>
  <c r="E9" i="18" a="1"/>
  <c r="E9" i="18" s="1"/>
  <c r="S70" i="18"/>
  <c r="S69" i="18"/>
  <c r="S68" i="18"/>
  <c r="S67" i="18"/>
  <c r="S66" i="18"/>
  <c r="S65" i="18"/>
  <c r="S64" i="18"/>
  <c r="S63" i="18"/>
  <c r="S62" i="18"/>
  <c r="S61" i="18"/>
  <c r="S60" i="18"/>
  <c r="S59" i="18"/>
  <c r="S42" i="18"/>
  <c r="S41" i="18"/>
  <c r="S40" i="18"/>
  <c r="S39" i="18"/>
  <c r="S38" i="18"/>
  <c r="S37" i="18"/>
  <c r="S36" i="18"/>
  <c r="S35" i="18"/>
  <c r="S34" i="18"/>
  <c r="S33" i="18"/>
  <c r="S32" i="18"/>
  <c r="S31" i="18"/>
  <c r="S30" i="18"/>
  <c r="S29" i="18"/>
  <c r="S28" i="18"/>
  <c r="S27" i="18"/>
  <c r="S26" i="18"/>
  <c r="S25" i="18"/>
  <c r="S24" i="18"/>
  <c r="S23" i="18"/>
  <c r="S22" i="18"/>
  <c r="S21" i="18"/>
  <c r="S18" i="18"/>
  <c r="S17" i="18"/>
  <c r="S16" i="18"/>
  <c r="S15" i="18"/>
  <c r="S14" i="18"/>
  <c r="S13" i="18"/>
  <c r="S12" i="18"/>
  <c r="S11" i="18"/>
  <c r="S10" i="18"/>
  <c r="S9" i="18"/>
  <c r="A2" i="18"/>
  <c r="A1" i="18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48" i="15"/>
  <c r="E49" i="15"/>
  <c r="E50" i="15"/>
  <c r="E65" i="15"/>
  <c r="E66" i="15"/>
  <c r="E67" i="15"/>
  <c r="E68" i="15"/>
  <c r="E71" i="15"/>
  <c r="E10" i="15"/>
  <c r="C17" i="17" l="1"/>
  <c r="C16" i="17"/>
  <c r="C15" i="17"/>
  <c r="A2" i="16" l="1"/>
  <c r="B5" i="16"/>
  <c r="C5" i="16"/>
  <c r="E9" i="16"/>
  <c r="I9" i="16"/>
  <c r="E10" i="16"/>
  <c r="I10" i="16"/>
  <c r="E11" i="16"/>
  <c r="I11" i="16"/>
  <c r="E12" i="16"/>
  <c r="I12" i="16"/>
  <c r="E13" i="16"/>
  <c r="I13" i="16"/>
  <c r="E14" i="16"/>
  <c r="I14" i="16"/>
  <c r="E15" i="16"/>
  <c r="I15" i="16"/>
  <c r="E16" i="16"/>
  <c r="I16" i="16"/>
  <c r="E17" i="16"/>
  <c r="I17" i="16"/>
  <c r="E18" i="16"/>
  <c r="I18" i="16"/>
  <c r="E19" i="16"/>
  <c r="I19" i="16"/>
  <c r="E20" i="16"/>
  <c r="I20" i="16"/>
  <c r="E21" i="16"/>
  <c r="I21" i="16"/>
  <c r="E22" i="16"/>
  <c r="I22" i="16"/>
  <c r="E23" i="16"/>
  <c r="I23" i="16"/>
  <c r="E24" i="16"/>
  <c r="I24" i="16"/>
  <c r="E25" i="16"/>
  <c r="I25" i="16"/>
  <c r="E26" i="16"/>
  <c r="I26" i="16"/>
  <c r="E27" i="16"/>
  <c r="I27" i="16"/>
  <c r="E28" i="16"/>
  <c r="I28" i="16"/>
  <c r="E29" i="16"/>
  <c r="I29" i="16"/>
  <c r="E30" i="16"/>
  <c r="I30" i="16"/>
  <c r="E31" i="16"/>
  <c r="I31" i="16"/>
  <c r="E32" i="16"/>
  <c r="I32" i="16"/>
  <c r="E33" i="16"/>
  <c r="I33" i="16"/>
  <c r="E34" i="16"/>
  <c r="I34" i="16"/>
  <c r="E35" i="16"/>
  <c r="I35" i="16"/>
  <c r="E36" i="16"/>
  <c r="I36" i="16"/>
  <c r="E37" i="16"/>
  <c r="I37" i="16"/>
  <c r="E38" i="16"/>
  <c r="I38" i="16"/>
  <c r="E39" i="16"/>
  <c r="I39" i="16"/>
  <c r="E40" i="16"/>
  <c r="I40" i="16"/>
  <c r="E41" i="16"/>
  <c r="I41" i="16"/>
  <c r="E42" i="16"/>
  <c r="I42" i="16"/>
  <c r="E43" i="16"/>
  <c r="I43" i="16"/>
  <c r="E44" i="16"/>
  <c r="I44" i="16"/>
  <c r="E45" i="16"/>
  <c r="I45" i="16"/>
  <c r="E46" i="16"/>
  <c r="I46" i="16"/>
  <c r="E47" i="16"/>
  <c r="I47" i="16"/>
  <c r="E48" i="16"/>
  <c r="I48" i="16"/>
  <c r="E49" i="16"/>
  <c r="I49" i="16"/>
  <c r="E50" i="16"/>
  <c r="I50" i="16"/>
  <c r="E51" i="16"/>
  <c r="I51" i="16"/>
  <c r="E52" i="16"/>
  <c r="I52" i="16"/>
  <c r="E53" i="16"/>
  <c r="I53" i="16"/>
  <c r="E54" i="16"/>
  <c r="I54" i="16"/>
  <c r="E56" i="16"/>
  <c r="I56" i="16"/>
  <c r="E57" i="16"/>
  <c r="I57" i="16"/>
  <c r="E58" i="16"/>
  <c r="I58" i="16"/>
  <c r="E59" i="16"/>
  <c r="I59" i="16"/>
  <c r="E60" i="16"/>
  <c r="I60" i="16"/>
  <c r="E61" i="16"/>
  <c r="I61" i="16"/>
  <c r="E62" i="16"/>
  <c r="I62" i="16"/>
  <c r="E63" i="16"/>
  <c r="I63" i="16"/>
  <c r="E64" i="16"/>
  <c r="I64" i="16"/>
  <c r="E65" i="16"/>
  <c r="I65" i="16"/>
  <c r="E66" i="16"/>
  <c r="I66" i="16"/>
  <c r="E67" i="16"/>
  <c r="I67" i="16"/>
  <c r="E68" i="16"/>
  <c r="I68" i="16"/>
  <c r="E69" i="16"/>
  <c r="I69" i="16"/>
  <c r="E70" i="16"/>
  <c r="I70" i="16"/>
  <c r="E71" i="16"/>
  <c r="I71" i="16"/>
  <c r="E72" i="16"/>
  <c r="A10" i="17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1" i="15"/>
  <c r="A2" i="15"/>
  <c r="C9" i="14"/>
  <c r="D9" i="14" s="1"/>
  <c r="R9" i="14"/>
  <c r="A10" i="14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C10" i="14"/>
  <c r="D10" i="14" s="1"/>
  <c r="R10" i="14"/>
  <c r="C11" i="14"/>
  <c r="D11" i="14" s="1"/>
  <c r="R11" i="14"/>
  <c r="C12" i="14"/>
  <c r="D12" i="14" s="1"/>
  <c r="R12" i="14"/>
  <c r="C13" i="14"/>
  <c r="D13" i="14" s="1"/>
  <c r="R13" i="14"/>
  <c r="C14" i="14"/>
  <c r="D14" i="14" s="1"/>
  <c r="R14" i="14"/>
  <c r="C15" i="14"/>
  <c r="D15" i="14" s="1"/>
  <c r="R15" i="14"/>
  <c r="C16" i="14"/>
  <c r="D16" i="14" s="1"/>
  <c r="R16" i="14"/>
  <c r="C17" i="14"/>
  <c r="D17" i="14" s="1"/>
  <c r="R17" i="14"/>
  <c r="C18" i="14"/>
  <c r="D18" i="14" s="1"/>
  <c r="R18" i="14"/>
  <c r="C19" i="14"/>
  <c r="D19" i="14" s="1"/>
  <c r="R19" i="14"/>
  <c r="C20" i="14"/>
  <c r="D20" i="14" s="1"/>
  <c r="R20" i="14"/>
  <c r="C21" i="14"/>
  <c r="D21" i="14" s="1"/>
  <c r="R21" i="14"/>
  <c r="C22" i="14"/>
  <c r="D22" i="14" s="1"/>
  <c r="R22" i="14"/>
  <c r="A1" i="13"/>
  <c r="A2" i="13"/>
  <c r="A3" i="13"/>
  <c r="C5" i="13"/>
  <c r="B7" i="13"/>
  <c r="C7" i="13"/>
  <c r="A1" i="12"/>
  <c r="A2" i="12"/>
  <c r="B7" i="12"/>
  <c r="C7" i="12"/>
  <c r="A1" i="11"/>
  <c r="A2" i="11"/>
  <c r="B7" i="11"/>
  <c r="C7" i="11"/>
  <c r="A1" i="10"/>
  <c r="A2" i="10"/>
  <c r="B7" i="10"/>
  <c r="C7" i="10"/>
  <c r="A1" i="9"/>
  <c r="A2" i="9"/>
  <c r="B7" i="9"/>
  <c r="C7" i="9"/>
  <c r="A1" i="8"/>
  <c r="A2" i="8"/>
  <c r="B7" i="8"/>
  <c r="C7" i="8"/>
  <c r="A1" i="7"/>
  <c r="A2" i="7"/>
  <c r="B7" i="7"/>
  <c r="C7" i="7"/>
  <c r="A1" i="6"/>
  <c r="A2" i="6"/>
  <c r="B7" i="6"/>
  <c r="C7" i="6"/>
  <c r="A2" i="5"/>
  <c r="B7" i="5"/>
  <c r="C7" i="5"/>
  <c r="A1" i="4"/>
  <c r="A2" i="4"/>
  <c r="B7" i="4"/>
  <c r="C7" i="4"/>
  <c r="A1" i="3"/>
  <c r="A2" i="3"/>
  <c r="B7" i="3"/>
  <c r="C7" i="3"/>
  <c r="A1" i="2"/>
  <c r="A2" i="2"/>
  <c r="B7" i="2"/>
  <c r="C7" i="2"/>
  <c r="A1" i="1"/>
  <c r="A2" i="1"/>
  <c r="B7" i="1"/>
  <c r="C7" i="1"/>
  <c r="A11" i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I95" i="4" l="1"/>
  <c r="I95" i="3"/>
  <c r="D95" i="3"/>
  <c r="D95" i="4"/>
  <c r="D95" i="6"/>
  <c r="I95" i="5"/>
  <c r="I95" i="8"/>
  <c r="I95" i="12"/>
  <c r="D95" i="7"/>
  <c r="D95" i="9"/>
  <c r="I95" i="9"/>
  <c r="I95" i="7"/>
  <c r="D95" i="8"/>
  <c r="D95" i="11"/>
  <c r="D95" i="10"/>
  <c r="I95" i="10"/>
  <c r="D95" i="5"/>
  <c r="I95" i="6"/>
  <c r="I95" i="11"/>
  <c r="D95" i="12"/>
  <c r="I73" i="11"/>
  <c r="I73" i="7"/>
  <c r="I73" i="3"/>
  <c r="I73" i="10"/>
  <c r="I73" i="6"/>
  <c r="I73" i="9"/>
  <c r="I73" i="5"/>
  <c r="I73" i="12"/>
  <c r="I73" i="8"/>
  <c r="I73" i="4"/>
  <c r="D73" i="5"/>
  <c r="D73" i="10"/>
  <c r="D73" i="4"/>
  <c r="D73" i="7"/>
  <c r="D73" i="11"/>
  <c r="D73" i="6"/>
  <c r="D73" i="8"/>
  <c r="D73" i="12"/>
  <c r="D73" i="3"/>
  <c r="D73" i="9"/>
  <c r="E95" i="12"/>
  <c r="E95" i="8"/>
  <c r="E95" i="3"/>
  <c r="E95" i="10"/>
  <c r="E95" i="7"/>
  <c r="E95" i="5"/>
  <c r="E95" i="6"/>
  <c r="E95" i="9"/>
  <c r="E95" i="4"/>
  <c r="E95" i="11"/>
  <c r="E73" i="5"/>
  <c r="E73" i="9"/>
  <c r="E73" i="12"/>
  <c r="E73" i="6"/>
  <c r="E73" i="10"/>
  <c r="E73" i="11"/>
  <c r="E73" i="3"/>
  <c r="E73" i="7"/>
  <c r="E73" i="4"/>
  <c r="E73" i="8"/>
  <c r="D95" i="1"/>
  <c r="I95" i="2"/>
  <c r="I95" i="1"/>
  <c r="D95" i="2"/>
  <c r="I73" i="2"/>
  <c r="I73" i="1"/>
  <c r="D73" i="1"/>
  <c r="D73" i="2"/>
  <c r="E95" i="1"/>
  <c r="J95" i="1" s="1"/>
  <c r="E95" i="2"/>
  <c r="J95" i="2" s="1"/>
  <c r="E73" i="1"/>
  <c r="J73" i="1" s="1"/>
  <c r="E73" i="2"/>
  <c r="J73" i="2" s="1"/>
  <c r="E111" i="2"/>
  <c r="J111" i="2" s="1"/>
  <c r="E111" i="4"/>
  <c r="J111" i="4" s="1"/>
  <c r="E111" i="3"/>
  <c r="J111" i="3" s="1"/>
  <c r="E111" i="1"/>
  <c r="J111" i="1" s="1"/>
  <c r="E111" i="7"/>
  <c r="J111" i="7" s="1"/>
  <c r="E111" i="9"/>
  <c r="J111" i="9" s="1"/>
  <c r="E111" i="11"/>
  <c r="J111" i="11" s="1"/>
  <c r="E111" i="5"/>
  <c r="J111" i="5" s="1"/>
  <c r="E111" i="6"/>
  <c r="J111" i="6" s="1"/>
  <c r="E111" i="8"/>
  <c r="J111" i="8" s="1"/>
  <c r="E111" i="10"/>
  <c r="J111" i="10" s="1"/>
  <c r="E111" i="12"/>
  <c r="J111" i="12" s="1"/>
  <c r="E107" i="2"/>
  <c r="J107" i="2" s="1"/>
  <c r="E107" i="4"/>
  <c r="J107" i="4" s="1"/>
  <c r="E107" i="3"/>
  <c r="J107" i="3" s="1"/>
  <c r="E107" i="1"/>
  <c r="J107" i="1" s="1"/>
  <c r="E107" i="7"/>
  <c r="J107" i="7" s="1"/>
  <c r="E107" i="9"/>
  <c r="J107" i="9" s="1"/>
  <c r="E107" i="11"/>
  <c r="J107" i="11" s="1"/>
  <c r="E107" i="5"/>
  <c r="J107" i="5" s="1"/>
  <c r="E107" i="6"/>
  <c r="J107" i="6" s="1"/>
  <c r="E107" i="8"/>
  <c r="J107" i="8" s="1"/>
  <c r="E107" i="10"/>
  <c r="J107" i="10" s="1"/>
  <c r="E107" i="12"/>
  <c r="J107" i="12" s="1"/>
  <c r="E101" i="3"/>
  <c r="J101" i="3" s="1"/>
  <c r="E101" i="1"/>
  <c r="J101" i="1" s="1"/>
  <c r="E101" i="2"/>
  <c r="J101" i="2" s="1"/>
  <c r="E101" i="4"/>
  <c r="J101" i="4" s="1"/>
  <c r="E101" i="6"/>
  <c r="J101" i="6" s="1"/>
  <c r="E101" i="8"/>
  <c r="J101" i="8" s="1"/>
  <c r="E101" i="10"/>
  <c r="J101" i="10" s="1"/>
  <c r="E101" i="12"/>
  <c r="J101" i="12" s="1"/>
  <c r="E101" i="5"/>
  <c r="J101" i="5" s="1"/>
  <c r="E101" i="7"/>
  <c r="J101" i="7" s="1"/>
  <c r="E101" i="9"/>
  <c r="J101" i="9" s="1"/>
  <c r="E101" i="11"/>
  <c r="J101" i="11" s="1"/>
  <c r="E94" i="2"/>
  <c r="J94" i="2" s="1"/>
  <c r="E94" i="4"/>
  <c r="J94" i="4" s="1"/>
  <c r="E94" i="3"/>
  <c r="J94" i="3" s="1"/>
  <c r="E94" i="1"/>
  <c r="J94" i="1" s="1"/>
  <c r="E94" i="5"/>
  <c r="J94" i="5" s="1"/>
  <c r="E94" i="7"/>
  <c r="J94" i="7" s="1"/>
  <c r="E94" i="9"/>
  <c r="J94" i="9" s="1"/>
  <c r="E94" i="11"/>
  <c r="J94" i="11" s="1"/>
  <c r="E94" i="6"/>
  <c r="J94" i="6" s="1"/>
  <c r="E94" i="8"/>
  <c r="J94" i="8" s="1"/>
  <c r="E94" i="10"/>
  <c r="J94" i="10" s="1"/>
  <c r="E94" i="12"/>
  <c r="J94" i="12" s="1"/>
  <c r="E112" i="3"/>
  <c r="E112" i="5"/>
  <c r="E112" i="1"/>
  <c r="E112" i="2"/>
  <c r="E112" i="4"/>
  <c r="E112" i="7"/>
  <c r="E112" i="9"/>
  <c r="E112" i="11"/>
  <c r="E112" i="6"/>
  <c r="E112" i="8"/>
  <c r="E112" i="10"/>
  <c r="E112" i="12"/>
  <c r="E110" i="1"/>
  <c r="J110" i="1" s="1"/>
  <c r="E110" i="2"/>
  <c r="J110" i="2" s="1"/>
  <c r="E110" i="4"/>
  <c r="J110" i="4" s="1"/>
  <c r="E110" i="3"/>
  <c r="J110" i="3" s="1"/>
  <c r="E110" i="5"/>
  <c r="J110" i="5" s="1"/>
  <c r="E110" i="6"/>
  <c r="J110" i="6" s="1"/>
  <c r="E110" i="8"/>
  <c r="J110" i="8" s="1"/>
  <c r="E110" i="10"/>
  <c r="J110" i="10" s="1"/>
  <c r="E110" i="12"/>
  <c r="J110" i="12" s="1"/>
  <c r="E110" i="7"/>
  <c r="J110" i="7" s="1"/>
  <c r="E110" i="9"/>
  <c r="J110" i="9" s="1"/>
  <c r="E110" i="11"/>
  <c r="J110" i="11" s="1"/>
  <c r="E108" i="3"/>
  <c r="J108" i="3" s="1"/>
  <c r="E108" i="5"/>
  <c r="J108" i="5" s="1"/>
  <c r="E108" i="1"/>
  <c r="J108" i="1" s="1"/>
  <c r="E108" i="2"/>
  <c r="J108" i="2" s="1"/>
  <c r="E108" i="4"/>
  <c r="J108" i="4" s="1"/>
  <c r="E108" i="7"/>
  <c r="J108" i="7" s="1"/>
  <c r="E108" i="9"/>
  <c r="J108" i="9" s="1"/>
  <c r="E108" i="11"/>
  <c r="J108" i="11" s="1"/>
  <c r="E108" i="6"/>
  <c r="J108" i="6" s="1"/>
  <c r="E108" i="8"/>
  <c r="J108" i="8" s="1"/>
  <c r="E108" i="10"/>
  <c r="J108" i="10" s="1"/>
  <c r="E108" i="12"/>
  <c r="J108" i="12" s="1"/>
  <c r="E104" i="3"/>
  <c r="J104" i="3" s="1"/>
  <c r="E104" i="5"/>
  <c r="J104" i="5" s="1"/>
  <c r="E104" i="1"/>
  <c r="J104" i="1" s="1"/>
  <c r="E104" i="2"/>
  <c r="J104" i="2" s="1"/>
  <c r="E104" i="4"/>
  <c r="J104" i="4" s="1"/>
  <c r="E104" i="7"/>
  <c r="J104" i="7" s="1"/>
  <c r="E104" i="9"/>
  <c r="J104" i="9" s="1"/>
  <c r="E104" i="11"/>
  <c r="J104" i="11" s="1"/>
  <c r="E104" i="6"/>
  <c r="J104" i="6" s="1"/>
  <c r="E104" i="8"/>
  <c r="J104" i="8" s="1"/>
  <c r="E104" i="10"/>
  <c r="J104" i="10" s="1"/>
  <c r="E104" i="12"/>
  <c r="J104" i="12" s="1"/>
  <c r="E102" i="1"/>
  <c r="J102" i="1" s="1"/>
  <c r="E102" i="2"/>
  <c r="J102" i="2" s="1"/>
  <c r="E102" i="4"/>
  <c r="J102" i="4" s="1"/>
  <c r="E102" i="3"/>
  <c r="J102" i="3" s="1"/>
  <c r="E102" i="6"/>
  <c r="J102" i="6" s="1"/>
  <c r="E102" i="8"/>
  <c r="J102" i="8" s="1"/>
  <c r="E102" i="10"/>
  <c r="J102" i="10" s="1"/>
  <c r="E102" i="12"/>
  <c r="J102" i="12" s="1"/>
  <c r="E102" i="5"/>
  <c r="J102" i="5" s="1"/>
  <c r="E102" i="7"/>
  <c r="J102" i="7" s="1"/>
  <c r="E102" i="9"/>
  <c r="J102" i="9" s="1"/>
  <c r="E102" i="11"/>
  <c r="J102" i="11" s="1"/>
  <c r="E100" i="3"/>
  <c r="J100" i="3" s="1"/>
  <c r="E100" i="1"/>
  <c r="J100" i="1" s="1"/>
  <c r="E100" i="2"/>
  <c r="J100" i="2" s="1"/>
  <c r="E100" i="4"/>
  <c r="J100" i="4" s="1"/>
  <c r="E100" i="5"/>
  <c r="J100" i="5" s="1"/>
  <c r="E100" i="7"/>
  <c r="J100" i="7" s="1"/>
  <c r="E100" i="9"/>
  <c r="J100" i="9" s="1"/>
  <c r="E100" i="11"/>
  <c r="J100" i="11" s="1"/>
  <c r="E100" i="6"/>
  <c r="J100" i="6" s="1"/>
  <c r="E100" i="8"/>
  <c r="J100" i="8" s="1"/>
  <c r="E100" i="10"/>
  <c r="J100" i="10" s="1"/>
  <c r="E100" i="12"/>
  <c r="J100" i="12" s="1"/>
  <c r="E98" i="1"/>
  <c r="J98" i="1" s="1"/>
  <c r="E98" i="2"/>
  <c r="J98" i="2" s="1"/>
  <c r="E98" i="4"/>
  <c r="J98" i="4" s="1"/>
  <c r="E98" i="3"/>
  <c r="J98" i="3" s="1"/>
  <c r="E98" i="6"/>
  <c r="J98" i="6" s="1"/>
  <c r="E98" i="8"/>
  <c r="J98" i="8" s="1"/>
  <c r="E98" i="10"/>
  <c r="J98" i="10" s="1"/>
  <c r="E98" i="12"/>
  <c r="J98" i="12" s="1"/>
  <c r="E98" i="5"/>
  <c r="J98" i="5" s="1"/>
  <c r="E98" i="7"/>
  <c r="J98" i="7" s="1"/>
  <c r="E98" i="9"/>
  <c r="J98" i="9" s="1"/>
  <c r="E98" i="11"/>
  <c r="J98" i="11" s="1"/>
  <c r="E96" i="3"/>
  <c r="J96" i="3" s="1"/>
  <c r="E96" i="1"/>
  <c r="J96" i="1" s="1"/>
  <c r="E96" i="2"/>
  <c r="J96" i="2" s="1"/>
  <c r="E96" i="4"/>
  <c r="J96" i="4" s="1"/>
  <c r="E96" i="5"/>
  <c r="J96" i="5" s="1"/>
  <c r="E96" i="7"/>
  <c r="J96" i="7" s="1"/>
  <c r="E96" i="9"/>
  <c r="J96" i="9" s="1"/>
  <c r="E96" i="11"/>
  <c r="J96" i="11" s="1"/>
  <c r="E96" i="12"/>
  <c r="J96" i="12" s="1"/>
  <c r="E96" i="6"/>
  <c r="J96" i="6" s="1"/>
  <c r="E96" i="8"/>
  <c r="J96" i="8" s="1"/>
  <c r="E96" i="10"/>
  <c r="J96" i="10" s="1"/>
  <c r="E93" i="1"/>
  <c r="J93" i="1" s="1"/>
  <c r="E93" i="2"/>
  <c r="J93" i="2" s="1"/>
  <c r="E93" i="4"/>
  <c r="J93" i="4" s="1"/>
  <c r="E93" i="3"/>
  <c r="J93" i="3" s="1"/>
  <c r="E93" i="6"/>
  <c r="J93" i="6" s="1"/>
  <c r="E93" i="8"/>
  <c r="J93" i="8" s="1"/>
  <c r="E93" i="10"/>
  <c r="J93" i="10" s="1"/>
  <c r="E93" i="12"/>
  <c r="J93" i="12" s="1"/>
  <c r="E93" i="5"/>
  <c r="J93" i="5" s="1"/>
  <c r="E93" i="7"/>
  <c r="J93" i="7" s="1"/>
  <c r="E93" i="9"/>
  <c r="J93" i="9" s="1"/>
  <c r="E93" i="11"/>
  <c r="J93" i="11" s="1"/>
  <c r="E91" i="3"/>
  <c r="J91" i="3" s="1"/>
  <c r="E91" i="1"/>
  <c r="J91" i="1" s="1"/>
  <c r="E91" i="2"/>
  <c r="J91" i="2" s="1"/>
  <c r="E91" i="4"/>
  <c r="J91" i="4" s="1"/>
  <c r="E91" i="5"/>
  <c r="J91" i="5" s="1"/>
  <c r="E91" i="7"/>
  <c r="J91" i="7" s="1"/>
  <c r="E91" i="9"/>
  <c r="J91" i="9" s="1"/>
  <c r="E91" i="11"/>
  <c r="J91" i="11" s="1"/>
  <c r="E91" i="6"/>
  <c r="J91" i="6" s="1"/>
  <c r="E91" i="8"/>
  <c r="J91" i="8" s="1"/>
  <c r="E91" i="10"/>
  <c r="J91" i="10" s="1"/>
  <c r="E91" i="12"/>
  <c r="J91" i="12" s="1"/>
  <c r="E89" i="1"/>
  <c r="J89" i="1" s="1"/>
  <c r="E89" i="2"/>
  <c r="J89" i="2" s="1"/>
  <c r="E89" i="4"/>
  <c r="J89" i="4" s="1"/>
  <c r="E89" i="3"/>
  <c r="J89" i="3" s="1"/>
  <c r="E89" i="6"/>
  <c r="J89" i="6" s="1"/>
  <c r="E89" i="8"/>
  <c r="J89" i="8" s="1"/>
  <c r="E89" i="10"/>
  <c r="J89" i="10" s="1"/>
  <c r="E89" i="12"/>
  <c r="J89" i="12" s="1"/>
  <c r="E89" i="5"/>
  <c r="J89" i="5" s="1"/>
  <c r="E89" i="7"/>
  <c r="J89" i="7" s="1"/>
  <c r="E89" i="9"/>
  <c r="J89" i="9" s="1"/>
  <c r="E89" i="11"/>
  <c r="J89" i="11" s="1"/>
  <c r="E87" i="3"/>
  <c r="J87" i="3" s="1"/>
  <c r="E87" i="1"/>
  <c r="J87" i="1" s="1"/>
  <c r="E87" i="2"/>
  <c r="J87" i="2" s="1"/>
  <c r="E87" i="4"/>
  <c r="J87" i="4" s="1"/>
  <c r="E87" i="5"/>
  <c r="J87" i="5" s="1"/>
  <c r="E87" i="7"/>
  <c r="J87" i="7" s="1"/>
  <c r="E87" i="9"/>
  <c r="J87" i="9" s="1"/>
  <c r="E87" i="11"/>
  <c r="J87" i="11" s="1"/>
  <c r="E87" i="12"/>
  <c r="J87" i="12" s="1"/>
  <c r="E87" i="6"/>
  <c r="J87" i="6" s="1"/>
  <c r="E87" i="8"/>
  <c r="J87" i="8" s="1"/>
  <c r="E87" i="10"/>
  <c r="J87" i="10" s="1"/>
  <c r="E85" i="1"/>
  <c r="J85" i="1" s="1"/>
  <c r="E85" i="2"/>
  <c r="J85" i="2" s="1"/>
  <c r="E85" i="4"/>
  <c r="J85" i="4" s="1"/>
  <c r="E85" i="3"/>
  <c r="J85" i="3" s="1"/>
  <c r="E85" i="6"/>
  <c r="J85" i="6" s="1"/>
  <c r="E85" i="8"/>
  <c r="J85" i="8" s="1"/>
  <c r="E85" i="10"/>
  <c r="J85" i="10" s="1"/>
  <c r="E85" i="12"/>
  <c r="J85" i="12" s="1"/>
  <c r="E85" i="5"/>
  <c r="J85" i="5" s="1"/>
  <c r="E85" i="7"/>
  <c r="J85" i="7" s="1"/>
  <c r="E85" i="9"/>
  <c r="J85" i="9" s="1"/>
  <c r="E85" i="11"/>
  <c r="J85" i="11" s="1"/>
  <c r="E83" i="3"/>
  <c r="J83" i="3" s="1"/>
  <c r="E83" i="1"/>
  <c r="J83" i="1" s="1"/>
  <c r="E83" i="2"/>
  <c r="J83" i="2" s="1"/>
  <c r="E83" i="4"/>
  <c r="J83" i="4" s="1"/>
  <c r="E83" i="5"/>
  <c r="J83" i="5" s="1"/>
  <c r="E83" i="7"/>
  <c r="J83" i="7" s="1"/>
  <c r="E83" i="9"/>
  <c r="J83" i="9" s="1"/>
  <c r="E83" i="11"/>
  <c r="J83" i="11" s="1"/>
  <c r="E83" i="6"/>
  <c r="J83" i="6" s="1"/>
  <c r="E83" i="8"/>
  <c r="J83" i="8" s="1"/>
  <c r="E83" i="10"/>
  <c r="J83" i="10" s="1"/>
  <c r="E83" i="12"/>
  <c r="J83" i="12" s="1"/>
  <c r="E81" i="1"/>
  <c r="J81" i="1" s="1"/>
  <c r="E81" i="2"/>
  <c r="J81" i="2" s="1"/>
  <c r="E81" i="4"/>
  <c r="J81" i="4" s="1"/>
  <c r="E81" i="3"/>
  <c r="J81" i="3" s="1"/>
  <c r="E81" i="6"/>
  <c r="J81" i="6" s="1"/>
  <c r="E81" i="8"/>
  <c r="J81" i="8" s="1"/>
  <c r="E81" i="10"/>
  <c r="J81" i="10" s="1"/>
  <c r="E81" i="12"/>
  <c r="J81" i="12" s="1"/>
  <c r="E81" i="5"/>
  <c r="J81" i="5" s="1"/>
  <c r="E81" i="7"/>
  <c r="J81" i="7" s="1"/>
  <c r="E81" i="9"/>
  <c r="J81" i="9" s="1"/>
  <c r="E81" i="11"/>
  <c r="J81" i="11" s="1"/>
  <c r="E79" i="3"/>
  <c r="J79" i="3" s="1"/>
  <c r="E79" i="1"/>
  <c r="J79" i="1" s="1"/>
  <c r="E79" i="2"/>
  <c r="J79" i="2" s="1"/>
  <c r="E79" i="4"/>
  <c r="J79" i="4" s="1"/>
  <c r="E79" i="5"/>
  <c r="J79" i="5" s="1"/>
  <c r="E79" i="7"/>
  <c r="J79" i="7" s="1"/>
  <c r="E79" i="9"/>
  <c r="J79" i="9" s="1"/>
  <c r="E79" i="11"/>
  <c r="J79" i="11" s="1"/>
  <c r="E79" i="12"/>
  <c r="J79" i="12" s="1"/>
  <c r="E79" i="6"/>
  <c r="J79" i="6" s="1"/>
  <c r="E79" i="8"/>
  <c r="J79" i="8" s="1"/>
  <c r="E79" i="10"/>
  <c r="J79" i="10" s="1"/>
  <c r="E77" i="1"/>
  <c r="J77" i="1" s="1"/>
  <c r="E77" i="2"/>
  <c r="J77" i="2" s="1"/>
  <c r="E77" i="4"/>
  <c r="J77" i="4" s="1"/>
  <c r="E77" i="3"/>
  <c r="J77" i="3" s="1"/>
  <c r="E77" i="6"/>
  <c r="J77" i="6" s="1"/>
  <c r="E77" i="8"/>
  <c r="J77" i="8" s="1"/>
  <c r="E77" i="10"/>
  <c r="J77" i="10" s="1"/>
  <c r="E77" i="12"/>
  <c r="J77" i="12" s="1"/>
  <c r="E77" i="5"/>
  <c r="J77" i="5" s="1"/>
  <c r="E77" i="7"/>
  <c r="J77" i="7" s="1"/>
  <c r="E77" i="9"/>
  <c r="J77" i="9" s="1"/>
  <c r="E77" i="11"/>
  <c r="J77" i="11" s="1"/>
  <c r="E75" i="3"/>
  <c r="J75" i="3" s="1"/>
  <c r="E75" i="1"/>
  <c r="J75" i="1" s="1"/>
  <c r="E75" i="2"/>
  <c r="J75" i="2" s="1"/>
  <c r="E75" i="5"/>
  <c r="J75" i="5" s="1"/>
  <c r="E75" i="7"/>
  <c r="J75" i="7" s="1"/>
  <c r="E75" i="9"/>
  <c r="J75" i="9" s="1"/>
  <c r="E75" i="11"/>
  <c r="J75" i="11" s="1"/>
  <c r="E75" i="6"/>
  <c r="J75" i="6" s="1"/>
  <c r="E75" i="8"/>
  <c r="J75" i="8" s="1"/>
  <c r="E75" i="10"/>
  <c r="J75" i="10" s="1"/>
  <c r="E75" i="12"/>
  <c r="J75" i="12" s="1"/>
  <c r="E75" i="4"/>
  <c r="J75" i="4" s="1"/>
  <c r="E72" i="3"/>
  <c r="J72" i="3" s="1"/>
  <c r="E72" i="1"/>
  <c r="J72" i="1" s="1"/>
  <c r="E72" i="2"/>
  <c r="J72" i="2" s="1"/>
  <c r="E72" i="4"/>
  <c r="J72" i="4" s="1"/>
  <c r="E72" i="6"/>
  <c r="J72" i="6" s="1"/>
  <c r="E72" i="8"/>
  <c r="J72" i="8" s="1"/>
  <c r="E72" i="10"/>
  <c r="J72" i="10" s="1"/>
  <c r="E72" i="12"/>
  <c r="J72" i="12" s="1"/>
  <c r="E72" i="5"/>
  <c r="J72" i="5" s="1"/>
  <c r="E72" i="7"/>
  <c r="J72" i="7" s="1"/>
  <c r="E72" i="9"/>
  <c r="J72" i="9" s="1"/>
  <c r="E72" i="11"/>
  <c r="J72" i="11" s="1"/>
  <c r="E70" i="2"/>
  <c r="J70" i="2" s="1"/>
  <c r="E70" i="4"/>
  <c r="J70" i="4" s="1"/>
  <c r="E70" i="3"/>
  <c r="J70" i="3" s="1"/>
  <c r="E70" i="1"/>
  <c r="J70" i="1" s="1"/>
  <c r="E70" i="5"/>
  <c r="J70" i="5" s="1"/>
  <c r="E70" i="7"/>
  <c r="J70" i="7" s="1"/>
  <c r="E70" i="9"/>
  <c r="J70" i="9" s="1"/>
  <c r="E70" i="11"/>
  <c r="J70" i="11" s="1"/>
  <c r="E70" i="12"/>
  <c r="J70" i="12" s="1"/>
  <c r="E70" i="6"/>
  <c r="J70" i="6" s="1"/>
  <c r="E70" i="8"/>
  <c r="J70" i="8" s="1"/>
  <c r="E70" i="10"/>
  <c r="J70" i="10" s="1"/>
  <c r="E68" i="3"/>
  <c r="J68" i="3" s="1"/>
  <c r="E68" i="1"/>
  <c r="J68" i="1" s="1"/>
  <c r="E68" i="2"/>
  <c r="J68" i="2" s="1"/>
  <c r="E68" i="6"/>
  <c r="J68" i="6" s="1"/>
  <c r="E68" i="8"/>
  <c r="J68" i="8" s="1"/>
  <c r="E68" i="10"/>
  <c r="J68" i="10" s="1"/>
  <c r="E68" i="12"/>
  <c r="J68" i="12" s="1"/>
  <c r="E68" i="4"/>
  <c r="J68" i="4" s="1"/>
  <c r="E68" i="5"/>
  <c r="J68" i="5" s="1"/>
  <c r="E68" i="7"/>
  <c r="J68" i="7" s="1"/>
  <c r="E68" i="9"/>
  <c r="J68" i="9" s="1"/>
  <c r="E68" i="11"/>
  <c r="J68" i="11" s="1"/>
  <c r="E66" i="2"/>
  <c r="J66" i="2" s="1"/>
  <c r="E66" i="4"/>
  <c r="J66" i="4" s="1"/>
  <c r="E66" i="3"/>
  <c r="J66" i="3" s="1"/>
  <c r="E66" i="1"/>
  <c r="J66" i="1" s="1"/>
  <c r="E66" i="5"/>
  <c r="J66" i="5" s="1"/>
  <c r="E66" i="7"/>
  <c r="J66" i="7" s="1"/>
  <c r="E66" i="9"/>
  <c r="J66" i="9" s="1"/>
  <c r="E66" i="11"/>
  <c r="J66" i="11" s="1"/>
  <c r="E66" i="6"/>
  <c r="J66" i="6" s="1"/>
  <c r="E66" i="8"/>
  <c r="J66" i="8" s="1"/>
  <c r="E66" i="10"/>
  <c r="J66" i="10" s="1"/>
  <c r="E66" i="12"/>
  <c r="J66" i="12" s="1"/>
  <c r="E64" i="3"/>
  <c r="J64" i="3" s="1"/>
  <c r="E64" i="1"/>
  <c r="J64" i="1" s="1"/>
  <c r="E64" i="2"/>
  <c r="J64" i="2" s="1"/>
  <c r="E64" i="4"/>
  <c r="J64" i="4" s="1"/>
  <c r="E64" i="6"/>
  <c r="J64" i="6" s="1"/>
  <c r="E64" i="8"/>
  <c r="J64" i="8" s="1"/>
  <c r="E64" i="10"/>
  <c r="J64" i="10" s="1"/>
  <c r="E64" i="12"/>
  <c r="J64" i="12" s="1"/>
  <c r="E64" i="5"/>
  <c r="J64" i="5" s="1"/>
  <c r="E64" i="7"/>
  <c r="J64" i="7" s="1"/>
  <c r="E64" i="9"/>
  <c r="J64" i="9" s="1"/>
  <c r="E64" i="11"/>
  <c r="J64" i="11" s="1"/>
  <c r="E62" i="2"/>
  <c r="J62" i="2" s="1"/>
  <c r="E62" i="4"/>
  <c r="J62" i="4" s="1"/>
  <c r="E62" i="3"/>
  <c r="J62" i="3" s="1"/>
  <c r="E62" i="1"/>
  <c r="J62" i="1" s="1"/>
  <c r="E62" i="12"/>
  <c r="J62" i="12" s="1"/>
  <c r="E62" i="5"/>
  <c r="J62" i="5" s="1"/>
  <c r="E62" i="7"/>
  <c r="J62" i="7" s="1"/>
  <c r="E62" i="9"/>
  <c r="J62" i="9" s="1"/>
  <c r="E62" i="11"/>
  <c r="J62" i="11" s="1"/>
  <c r="E62" i="6"/>
  <c r="J62" i="6" s="1"/>
  <c r="E62" i="8"/>
  <c r="J62" i="8" s="1"/>
  <c r="E62" i="10"/>
  <c r="J62" i="10" s="1"/>
  <c r="E60" i="3"/>
  <c r="J60" i="3" s="1"/>
  <c r="E60" i="1"/>
  <c r="J60" i="1" s="1"/>
  <c r="E60" i="2"/>
  <c r="J60" i="2" s="1"/>
  <c r="E60" i="6"/>
  <c r="J60" i="6" s="1"/>
  <c r="E60" i="8"/>
  <c r="J60" i="8" s="1"/>
  <c r="E60" i="10"/>
  <c r="J60" i="10" s="1"/>
  <c r="E60" i="12"/>
  <c r="J60" i="12" s="1"/>
  <c r="E60" i="4"/>
  <c r="J60" i="4" s="1"/>
  <c r="E60" i="5"/>
  <c r="J60" i="5" s="1"/>
  <c r="E60" i="7"/>
  <c r="J60" i="7" s="1"/>
  <c r="E60" i="9"/>
  <c r="J60" i="9" s="1"/>
  <c r="E60" i="11"/>
  <c r="J60" i="11" s="1"/>
  <c r="E58" i="2"/>
  <c r="J58" i="2" s="1"/>
  <c r="E58" i="3"/>
  <c r="J58" i="3" s="1"/>
  <c r="E58" i="1"/>
  <c r="J58" i="1" s="1"/>
  <c r="E58" i="4"/>
  <c r="J58" i="4" s="1"/>
  <c r="E58" i="5"/>
  <c r="J58" i="5" s="1"/>
  <c r="E58" i="7"/>
  <c r="J58" i="7" s="1"/>
  <c r="E58" i="9"/>
  <c r="J58" i="9" s="1"/>
  <c r="E58" i="11"/>
  <c r="J58" i="11" s="1"/>
  <c r="E58" i="12"/>
  <c r="J58" i="12" s="1"/>
  <c r="E58" i="6"/>
  <c r="J58" i="6" s="1"/>
  <c r="E58" i="8"/>
  <c r="J58" i="8" s="1"/>
  <c r="E58" i="10"/>
  <c r="J58" i="10" s="1"/>
  <c r="E56" i="3"/>
  <c r="J56" i="3" s="1"/>
  <c r="E56" i="1"/>
  <c r="J56" i="1" s="1"/>
  <c r="E56" i="2"/>
  <c r="J56" i="2" s="1"/>
  <c r="E56" i="6"/>
  <c r="J56" i="6" s="1"/>
  <c r="E56" i="8"/>
  <c r="J56" i="8" s="1"/>
  <c r="E56" i="10"/>
  <c r="J56" i="10" s="1"/>
  <c r="E56" i="12"/>
  <c r="J56" i="12" s="1"/>
  <c r="E56" i="4"/>
  <c r="J56" i="4" s="1"/>
  <c r="E56" i="5"/>
  <c r="J56" i="5" s="1"/>
  <c r="E56" i="7"/>
  <c r="J56" i="7" s="1"/>
  <c r="E56" i="9"/>
  <c r="J56" i="9" s="1"/>
  <c r="E56" i="11"/>
  <c r="J56" i="11" s="1"/>
  <c r="E54" i="2"/>
  <c r="E54" i="3"/>
  <c r="E54" i="1"/>
  <c r="E54" i="4"/>
  <c r="E54" i="5"/>
  <c r="E54" i="7"/>
  <c r="E54" i="9"/>
  <c r="E54" i="11"/>
  <c r="E54" i="12"/>
  <c r="E54" i="6"/>
  <c r="E54" i="8"/>
  <c r="E54" i="10"/>
  <c r="E52" i="3"/>
  <c r="J52" i="3" s="1"/>
  <c r="E52" i="1"/>
  <c r="J52" i="1" s="1"/>
  <c r="E52" i="2"/>
  <c r="J52" i="2" s="1"/>
  <c r="E52" i="4"/>
  <c r="J52" i="4" s="1"/>
  <c r="E52" i="6"/>
  <c r="J52" i="6" s="1"/>
  <c r="E52" i="8"/>
  <c r="J52" i="8" s="1"/>
  <c r="E52" i="10"/>
  <c r="J52" i="10" s="1"/>
  <c r="E52" i="12"/>
  <c r="J52" i="12" s="1"/>
  <c r="E52" i="5"/>
  <c r="J52" i="5" s="1"/>
  <c r="E52" i="7"/>
  <c r="J52" i="7" s="1"/>
  <c r="E52" i="9"/>
  <c r="J52" i="9" s="1"/>
  <c r="E52" i="11"/>
  <c r="J52" i="11" s="1"/>
  <c r="E50" i="2"/>
  <c r="J50" i="2" s="1"/>
  <c r="E50" i="3"/>
  <c r="J50" i="3" s="1"/>
  <c r="E50" i="1"/>
  <c r="J50" i="1" s="1"/>
  <c r="E50" i="12"/>
  <c r="J50" i="12" s="1"/>
  <c r="E50" i="5"/>
  <c r="J50" i="5" s="1"/>
  <c r="E50" i="7"/>
  <c r="J50" i="7" s="1"/>
  <c r="E50" i="9"/>
  <c r="J50" i="9" s="1"/>
  <c r="E50" i="11"/>
  <c r="J50" i="11" s="1"/>
  <c r="E50" i="4"/>
  <c r="J50" i="4" s="1"/>
  <c r="E50" i="6"/>
  <c r="J50" i="6" s="1"/>
  <c r="E50" i="8"/>
  <c r="J50" i="8" s="1"/>
  <c r="E50" i="10"/>
  <c r="J50" i="10" s="1"/>
  <c r="E48" i="3"/>
  <c r="J48" i="3" s="1"/>
  <c r="E48" i="1"/>
  <c r="J48" i="1" s="1"/>
  <c r="E48" i="2"/>
  <c r="J48" i="2" s="1"/>
  <c r="E48" i="4"/>
  <c r="J48" i="4" s="1"/>
  <c r="E48" i="6"/>
  <c r="J48" i="6" s="1"/>
  <c r="E48" i="8"/>
  <c r="J48" i="8" s="1"/>
  <c r="E48" i="10"/>
  <c r="J48" i="10" s="1"/>
  <c r="E48" i="12"/>
  <c r="J48" i="12" s="1"/>
  <c r="E48" i="5"/>
  <c r="J48" i="5" s="1"/>
  <c r="E48" i="7"/>
  <c r="J48" i="7" s="1"/>
  <c r="E48" i="9"/>
  <c r="J48" i="9" s="1"/>
  <c r="E48" i="11"/>
  <c r="J48" i="11" s="1"/>
  <c r="E46" i="1"/>
  <c r="J46" i="1" s="1"/>
  <c r="E46" i="2"/>
  <c r="J46" i="2" s="1"/>
  <c r="E46" i="3"/>
  <c r="J46" i="3" s="1"/>
  <c r="E46" i="5"/>
  <c r="J46" i="5" s="1"/>
  <c r="E46" i="7"/>
  <c r="J46" i="7" s="1"/>
  <c r="E46" i="9"/>
  <c r="J46" i="9" s="1"/>
  <c r="E46" i="11"/>
  <c r="J46" i="11" s="1"/>
  <c r="E46" i="4"/>
  <c r="J46" i="4" s="1"/>
  <c r="E46" i="6"/>
  <c r="J46" i="6" s="1"/>
  <c r="E46" i="8"/>
  <c r="J46" i="8" s="1"/>
  <c r="E46" i="10"/>
  <c r="J46" i="10" s="1"/>
  <c r="E46" i="12"/>
  <c r="J46" i="12" s="1"/>
  <c r="E109" i="3"/>
  <c r="J109" i="3" s="1"/>
  <c r="E109" i="1"/>
  <c r="J109" i="1" s="1"/>
  <c r="E109" i="2"/>
  <c r="J109" i="2" s="1"/>
  <c r="E109" i="4"/>
  <c r="J109" i="4" s="1"/>
  <c r="E109" i="5"/>
  <c r="J109" i="5" s="1"/>
  <c r="E109" i="6"/>
  <c r="J109" i="6" s="1"/>
  <c r="E109" i="8"/>
  <c r="J109" i="8" s="1"/>
  <c r="E109" i="10"/>
  <c r="J109" i="10" s="1"/>
  <c r="E109" i="12"/>
  <c r="J109" i="12" s="1"/>
  <c r="E109" i="7"/>
  <c r="J109" i="7" s="1"/>
  <c r="E109" i="9"/>
  <c r="J109" i="9" s="1"/>
  <c r="E109" i="11"/>
  <c r="J109" i="11" s="1"/>
  <c r="E106" i="1"/>
  <c r="J106" i="1" s="1"/>
  <c r="E105" i="3"/>
  <c r="J105" i="3" s="1"/>
  <c r="E105" i="1"/>
  <c r="J105" i="1" s="1"/>
  <c r="E106" i="2"/>
  <c r="J106" i="2" s="1"/>
  <c r="E106" i="4"/>
  <c r="J106" i="4" s="1"/>
  <c r="E105" i="2"/>
  <c r="J105" i="2" s="1"/>
  <c r="E106" i="3"/>
  <c r="J106" i="3" s="1"/>
  <c r="E105" i="5"/>
  <c r="J105" i="5" s="1"/>
  <c r="E106" i="6"/>
  <c r="J106" i="6" s="1"/>
  <c r="E106" i="8"/>
  <c r="J106" i="8" s="1"/>
  <c r="E106" i="10"/>
  <c r="J106" i="10" s="1"/>
  <c r="E106" i="12"/>
  <c r="J106" i="12" s="1"/>
  <c r="E105" i="6"/>
  <c r="J105" i="6" s="1"/>
  <c r="E105" i="8"/>
  <c r="J105" i="8" s="1"/>
  <c r="E105" i="10"/>
  <c r="J105" i="10" s="1"/>
  <c r="E105" i="12"/>
  <c r="J105" i="12" s="1"/>
  <c r="E106" i="7"/>
  <c r="J106" i="7" s="1"/>
  <c r="E106" i="9"/>
  <c r="J106" i="9" s="1"/>
  <c r="E106" i="11"/>
  <c r="J106" i="11" s="1"/>
  <c r="E105" i="4"/>
  <c r="J105" i="4" s="1"/>
  <c r="E106" i="5"/>
  <c r="J106" i="5" s="1"/>
  <c r="E105" i="7"/>
  <c r="J105" i="7" s="1"/>
  <c r="E105" i="9"/>
  <c r="J105" i="9" s="1"/>
  <c r="E105" i="11"/>
  <c r="J105" i="11" s="1"/>
  <c r="E99" i="2"/>
  <c r="J99" i="2" s="1"/>
  <c r="E99" i="4"/>
  <c r="J99" i="4" s="1"/>
  <c r="E99" i="3"/>
  <c r="J99" i="3" s="1"/>
  <c r="E99" i="1"/>
  <c r="J99" i="1" s="1"/>
  <c r="E99" i="5"/>
  <c r="J99" i="5" s="1"/>
  <c r="E99" i="7"/>
  <c r="J99" i="7" s="1"/>
  <c r="E99" i="9"/>
  <c r="J99" i="9" s="1"/>
  <c r="E99" i="11"/>
  <c r="J99" i="11" s="1"/>
  <c r="E99" i="6"/>
  <c r="J99" i="6" s="1"/>
  <c r="E99" i="8"/>
  <c r="J99" i="8" s="1"/>
  <c r="E99" i="10"/>
  <c r="J99" i="10" s="1"/>
  <c r="E99" i="12"/>
  <c r="J99" i="12" s="1"/>
  <c r="E97" i="3"/>
  <c r="J97" i="3" s="1"/>
  <c r="E97" i="1"/>
  <c r="J97" i="1" s="1"/>
  <c r="E97" i="2"/>
  <c r="J97" i="2" s="1"/>
  <c r="E97" i="4"/>
  <c r="J97" i="4" s="1"/>
  <c r="E97" i="6"/>
  <c r="J97" i="6" s="1"/>
  <c r="E97" i="8"/>
  <c r="J97" i="8" s="1"/>
  <c r="E97" i="10"/>
  <c r="J97" i="10" s="1"/>
  <c r="E97" i="12"/>
  <c r="J97" i="12" s="1"/>
  <c r="E97" i="5"/>
  <c r="J97" i="5" s="1"/>
  <c r="E97" i="7"/>
  <c r="J97" i="7" s="1"/>
  <c r="E97" i="9"/>
  <c r="J97" i="9" s="1"/>
  <c r="E97" i="11"/>
  <c r="J97" i="11" s="1"/>
  <c r="I111" i="11"/>
  <c r="I111" i="9"/>
  <c r="I111" i="12"/>
  <c r="I111" i="10"/>
  <c r="I111" i="8"/>
  <c r="I111" i="6"/>
  <c r="I111" i="5"/>
  <c r="I111" i="4"/>
  <c r="I111" i="2"/>
  <c r="I111" i="3"/>
  <c r="I111" i="7"/>
  <c r="I111" i="1"/>
  <c r="D111" i="6"/>
  <c r="F111" i="6" s="1"/>
  <c r="D111" i="7"/>
  <c r="D111" i="10"/>
  <c r="F111" i="10" s="1"/>
  <c r="D111" i="8"/>
  <c r="D111" i="9"/>
  <c r="D111" i="11"/>
  <c r="D111" i="3"/>
  <c r="F111" i="3" s="1"/>
  <c r="D111" i="5"/>
  <c r="F111" i="5" s="1"/>
  <c r="D111" i="4"/>
  <c r="D111" i="12"/>
  <c r="D111" i="2"/>
  <c r="D111" i="1"/>
  <c r="F111" i="1" s="1"/>
  <c r="I109" i="12"/>
  <c r="I109" i="10"/>
  <c r="I109" i="11"/>
  <c r="I109" i="9"/>
  <c r="I109" i="7"/>
  <c r="I109" i="5"/>
  <c r="I109" i="6"/>
  <c r="I109" i="3"/>
  <c r="I109" i="8"/>
  <c r="I109" i="4"/>
  <c r="I109" i="2"/>
  <c r="I109" i="1"/>
  <c r="D109" i="5"/>
  <c r="D109" i="11"/>
  <c r="D109" i="7"/>
  <c r="D109" i="10"/>
  <c r="D109" i="8"/>
  <c r="D109" i="9"/>
  <c r="D109" i="12"/>
  <c r="D109" i="6"/>
  <c r="D109" i="2"/>
  <c r="D109" i="1"/>
  <c r="F109" i="1" s="1"/>
  <c r="D109" i="3"/>
  <c r="D109" i="4"/>
  <c r="F109" i="4" s="1"/>
  <c r="I107" i="11"/>
  <c r="I107" i="9"/>
  <c r="I107" i="12"/>
  <c r="I107" i="10"/>
  <c r="I107" i="8"/>
  <c r="I107" i="7"/>
  <c r="I107" i="6"/>
  <c r="I107" i="5"/>
  <c r="I107" i="4"/>
  <c r="I107" i="2"/>
  <c r="I107" i="3"/>
  <c r="I107" i="1"/>
  <c r="D107" i="7"/>
  <c r="F107" i="7" s="1"/>
  <c r="D107" i="9"/>
  <c r="F107" i="9" s="1"/>
  <c r="D107" i="10"/>
  <c r="D107" i="8"/>
  <c r="D107" i="6"/>
  <c r="F107" i="6" s="1"/>
  <c r="D107" i="11"/>
  <c r="D107" i="3"/>
  <c r="F107" i="3" s="1"/>
  <c r="D107" i="4"/>
  <c r="D107" i="12"/>
  <c r="D107" i="5"/>
  <c r="D107" i="2"/>
  <c r="D107" i="1"/>
  <c r="I105" i="12"/>
  <c r="I105" i="10"/>
  <c r="I105" i="11"/>
  <c r="I105" i="9"/>
  <c r="I105" i="7"/>
  <c r="I106" i="12"/>
  <c r="I106" i="10"/>
  <c r="I105" i="8"/>
  <c r="I105" i="5"/>
  <c r="I105" i="6"/>
  <c r="I106" i="11"/>
  <c r="I105" i="3"/>
  <c r="I106" i="7"/>
  <c r="I106" i="6"/>
  <c r="I106" i="4"/>
  <c r="I106" i="2"/>
  <c r="I106" i="5"/>
  <c r="I105" i="4"/>
  <c r="I105" i="2"/>
  <c r="I106" i="3"/>
  <c r="I106" i="9"/>
  <c r="I106" i="8"/>
  <c r="I106" i="1"/>
  <c r="I105" i="1"/>
  <c r="D106" i="11"/>
  <c r="D106" i="7"/>
  <c r="D106" i="9"/>
  <c r="D106" i="10"/>
  <c r="D105" i="11"/>
  <c r="D106" i="5"/>
  <c r="D105" i="7"/>
  <c r="D105" i="9"/>
  <c r="D105" i="10"/>
  <c r="D105" i="5"/>
  <c r="D106" i="6"/>
  <c r="D105" i="12"/>
  <c r="F105" i="12" s="1"/>
  <c r="D106" i="2"/>
  <c r="D106" i="1"/>
  <c r="D105" i="2"/>
  <c r="D106" i="3"/>
  <c r="D106" i="8"/>
  <c r="D105" i="6"/>
  <c r="D105" i="1"/>
  <c r="F105" i="1" s="1"/>
  <c r="D105" i="3"/>
  <c r="D106" i="4"/>
  <c r="F106" i="4" s="1"/>
  <c r="D105" i="8"/>
  <c r="F105" i="8" s="1"/>
  <c r="D106" i="12"/>
  <c r="D105" i="4"/>
  <c r="I103" i="11"/>
  <c r="I103" i="9"/>
  <c r="I103" i="12"/>
  <c r="I103" i="10"/>
  <c r="I103" i="8"/>
  <c r="I103" i="6"/>
  <c r="I103" i="5"/>
  <c r="I103" i="4"/>
  <c r="I103" i="2"/>
  <c r="I103" i="7"/>
  <c r="I103" i="3"/>
  <c r="I103" i="1"/>
  <c r="D103" i="10"/>
  <c r="D103" i="6"/>
  <c r="D103" i="7"/>
  <c r="D103" i="8"/>
  <c r="D103" i="11"/>
  <c r="D103" i="3"/>
  <c r="D103" i="9"/>
  <c r="D103" i="5"/>
  <c r="D103" i="4"/>
  <c r="D103" i="12"/>
  <c r="D103" i="2"/>
  <c r="D103" i="1"/>
  <c r="I101" i="12"/>
  <c r="I101" i="10"/>
  <c r="I101" i="11"/>
  <c r="I101" i="9"/>
  <c r="I101" i="7"/>
  <c r="I101" i="5"/>
  <c r="I101" i="6"/>
  <c r="I101" i="3"/>
  <c r="I101" i="8"/>
  <c r="I101" i="4"/>
  <c r="I101" i="2"/>
  <c r="I101" i="1"/>
  <c r="D101" i="5"/>
  <c r="D101" i="7"/>
  <c r="D101" i="8"/>
  <c r="D101" i="9"/>
  <c r="D101" i="11"/>
  <c r="D101" i="12"/>
  <c r="D101" i="2"/>
  <c r="D101" i="10"/>
  <c r="D101" i="1"/>
  <c r="D101" i="3"/>
  <c r="D101" i="4"/>
  <c r="D101" i="6"/>
  <c r="I99" i="11"/>
  <c r="I99" i="9"/>
  <c r="I99" i="12"/>
  <c r="I99" i="10"/>
  <c r="I99" i="8"/>
  <c r="I99" i="6"/>
  <c r="I99" i="7"/>
  <c r="I99" i="5"/>
  <c r="I99" i="4"/>
  <c r="I99" i="2"/>
  <c r="I99" i="3"/>
  <c r="I99" i="1"/>
  <c r="D99" i="9"/>
  <c r="D99" i="6"/>
  <c r="D99" i="7"/>
  <c r="D99" i="8"/>
  <c r="D99" i="10"/>
  <c r="D99" i="11"/>
  <c r="D99" i="3"/>
  <c r="F99" i="3" s="1"/>
  <c r="D99" i="4"/>
  <c r="D99" i="12"/>
  <c r="D99" i="5"/>
  <c r="D99" i="2"/>
  <c r="D99" i="1"/>
  <c r="I97" i="12"/>
  <c r="I97" i="10"/>
  <c r="I97" i="11"/>
  <c r="I97" i="9"/>
  <c r="I97" i="7"/>
  <c r="I97" i="5"/>
  <c r="I97" i="8"/>
  <c r="I97" i="6"/>
  <c r="I97" i="3"/>
  <c r="I97" i="4"/>
  <c r="I97" i="2"/>
  <c r="I97" i="1"/>
  <c r="D97" i="8"/>
  <c r="D97" i="9"/>
  <c r="D97" i="6"/>
  <c r="D97" i="7"/>
  <c r="D97" i="10"/>
  <c r="D97" i="11"/>
  <c r="D97" i="5"/>
  <c r="D97" i="12"/>
  <c r="F97" i="12" s="1"/>
  <c r="D97" i="2"/>
  <c r="D97" i="1"/>
  <c r="F97" i="1" s="1"/>
  <c r="D97" i="3"/>
  <c r="D97" i="4"/>
  <c r="F97" i="4" s="1"/>
  <c r="I94" i="11"/>
  <c r="I94" i="9"/>
  <c r="I94" i="12"/>
  <c r="I94" i="10"/>
  <c r="I94" i="8"/>
  <c r="I94" i="6"/>
  <c r="I94" i="7"/>
  <c r="I94" i="5"/>
  <c r="I94" i="4"/>
  <c r="I94" i="2"/>
  <c r="I94" i="3"/>
  <c r="I94" i="1"/>
  <c r="D94" i="9"/>
  <c r="D94" i="8"/>
  <c r="D94" i="6"/>
  <c r="D94" i="7"/>
  <c r="D94" i="10"/>
  <c r="D94" i="11"/>
  <c r="D94" i="3"/>
  <c r="F94" i="3" s="1"/>
  <c r="D94" i="5"/>
  <c r="D94" i="4"/>
  <c r="D94" i="12"/>
  <c r="D94" i="2"/>
  <c r="D94" i="1"/>
  <c r="I92" i="12"/>
  <c r="I92" i="10"/>
  <c r="I92" i="11"/>
  <c r="I92" i="9"/>
  <c r="I92" i="7"/>
  <c r="I92" i="5"/>
  <c r="I92" i="6"/>
  <c r="I92" i="8"/>
  <c r="I92" i="3"/>
  <c r="I92" i="4"/>
  <c r="I92" i="2"/>
  <c r="I92" i="1"/>
  <c r="D92" i="5"/>
  <c r="D92" i="6"/>
  <c r="D92" i="7"/>
  <c r="D92" i="10"/>
  <c r="D92" i="11"/>
  <c r="D92" i="9"/>
  <c r="D92" i="12"/>
  <c r="D92" i="8"/>
  <c r="D92" i="2"/>
  <c r="D92" i="1"/>
  <c r="D92" i="3"/>
  <c r="D92" i="4"/>
  <c r="I90" i="11"/>
  <c r="I90" i="12"/>
  <c r="I90" i="10"/>
  <c r="I90" i="8"/>
  <c r="I90" i="6"/>
  <c r="I90" i="7"/>
  <c r="I90" i="5"/>
  <c r="I90" i="4"/>
  <c r="I90" i="2"/>
  <c r="I90" i="3"/>
  <c r="I90" i="9"/>
  <c r="I90" i="1"/>
  <c r="D90" i="8"/>
  <c r="D90" i="9"/>
  <c r="D90" i="5"/>
  <c r="D90" i="6"/>
  <c r="D90" i="10"/>
  <c r="D90" i="11"/>
  <c r="D90" i="3"/>
  <c r="D90" i="7"/>
  <c r="D90" i="4"/>
  <c r="D90" i="12"/>
  <c r="D90" i="2"/>
  <c r="D90" i="1"/>
  <c r="I88" i="12"/>
  <c r="I88" i="10"/>
  <c r="I88" i="11"/>
  <c r="I88" i="9"/>
  <c r="I88" i="8"/>
  <c r="I88" i="7"/>
  <c r="I88" i="5"/>
  <c r="I88" i="6"/>
  <c r="I88" i="3"/>
  <c r="I88" i="4"/>
  <c r="I88" i="2"/>
  <c r="I88" i="1"/>
  <c r="D88" i="5"/>
  <c r="D88" i="7"/>
  <c r="D88" i="10"/>
  <c r="D88" i="11"/>
  <c r="D88" i="8"/>
  <c r="D88" i="9"/>
  <c r="D88" i="12"/>
  <c r="D88" i="2"/>
  <c r="D88" i="6"/>
  <c r="D88" i="1"/>
  <c r="D88" i="3"/>
  <c r="D88" i="4"/>
  <c r="I86" i="11"/>
  <c r="I86" i="12"/>
  <c r="I86" i="10"/>
  <c r="I86" i="8"/>
  <c r="I86" i="9"/>
  <c r="I86" i="6"/>
  <c r="I86" i="7"/>
  <c r="I86" i="5"/>
  <c r="I86" i="4"/>
  <c r="I86" i="2"/>
  <c r="I86" i="3"/>
  <c r="I86" i="1"/>
  <c r="D86" i="8"/>
  <c r="D86" i="6"/>
  <c r="D86" i="7"/>
  <c r="D86" i="9"/>
  <c r="D86" i="10"/>
  <c r="D86" i="11"/>
  <c r="D86" i="3"/>
  <c r="D86" i="4"/>
  <c r="D86" i="12"/>
  <c r="D86" i="2"/>
  <c r="D86" i="5"/>
  <c r="D86" i="1"/>
  <c r="I84" i="12"/>
  <c r="I84" i="10"/>
  <c r="I84" i="11"/>
  <c r="I84" i="9"/>
  <c r="I84" i="7"/>
  <c r="I84" i="5"/>
  <c r="I84" i="6"/>
  <c r="I84" i="3"/>
  <c r="I84" i="4"/>
  <c r="I84" i="2"/>
  <c r="I84" i="8"/>
  <c r="I84" i="1"/>
  <c r="D84" i="10"/>
  <c r="D84" i="11"/>
  <c r="D84" i="5"/>
  <c r="D84" i="6"/>
  <c r="D84" i="8"/>
  <c r="D84" i="7"/>
  <c r="D84" i="9"/>
  <c r="D84" i="12"/>
  <c r="D84" i="2"/>
  <c r="D84" i="1"/>
  <c r="D84" i="3"/>
  <c r="D84" i="4"/>
  <c r="I82" i="11"/>
  <c r="I82" i="12"/>
  <c r="I82" i="10"/>
  <c r="I82" i="8"/>
  <c r="I82" i="6"/>
  <c r="I82" i="7"/>
  <c r="I82" i="5"/>
  <c r="I82" i="4"/>
  <c r="I82" i="2"/>
  <c r="I82" i="9"/>
  <c r="I82" i="3"/>
  <c r="I82" i="1"/>
  <c r="D82" i="6"/>
  <c r="D82" i="8"/>
  <c r="D82" i="7"/>
  <c r="D82" i="9"/>
  <c r="D82" i="10"/>
  <c r="D82" i="11"/>
  <c r="D82" i="3"/>
  <c r="D82" i="4"/>
  <c r="D82" i="5"/>
  <c r="D82" i="12"/>
  <c r="D82" i="2"/>
  <c r="D82" i="1"/>
  <c r="I80" i="12"/>
  <c r="I80" i="10"/>
  <c r="I80" i="11"/>
  <c r="I80" i="9"/>
  <c r="I80" i="7"/>
  <c r="I80" i="5"/>
  <c r="I80" i="8"/>
  <c r="I80" i="6"/>
  <c r="I80" i="3"/>
  <c r="I80" i="4"/>
  <c r="I80" i="2"/>
  <c r="I80" i="1"/>
  <c r="D80" i="5"/>
  <c r="D80" i="10"/>
  <c r="D80" i="11"/>
  <c r="D80" i="8"/>
  <c r="D80" i="7"/>
  <c r="D80" i="9"/>
  <c r="D80" i="12"/>
  <c r="D80" i="2"/>
  <c r="D80" i="1"/>
  <c r="D80" i="3"/>
  <c r="D80" i="4"/>
  <c r="D80" i="6"/>
  <c r="I78" i="11"/>
  <c r="I78" i="12"/>
  <c r="I78" i="10"/>
  <c r="I78" i="8"/>
  <c r="I78" i="6"/>
  <c r="I78" i="9"/>
  <c r="I78" i="7"/>
  <c r="I78" i="5"/>
  <c r="I78" i="4"/>
  <c r="I78" i="2"/>
  <c r="I78" i="3"/>
  <c r="I78" i="1"/>
  <c r="D78" i="8"/>
  <c r="D78" i="7"/>
  <c r="D78" i="9"/>
  <c r="D78" i="6"/>
  <c r="D78" i="10"/>
  <c r="D78" i="11"/>
  <c r="D78" i="3"/>
  <c r="D78" i="4"/>
  <c r="D78" i="12"/>
  <c r="D78" i="2"/>
  <c r="D78" i="5"/>
  <c r="D78" i="1"/>
  <c r="I76" i="12"/>
  <c r="I76" i="10"/>
  <c r="I76" i="11"/>
  <c r="I76" i="9"/>
  <c r="I76" i="7"/>
  <c r="I76" i="5"/>
  <c r="I76" i="6"/>
  <c r="I76" i="3"/>
  <c r="I76" i="8"/>
  <c r="I76" i="4"/>
  <c r="I76" i="2"/>
  <c r="I76" i="1"/>
  <c r="D76" i="6"/>
  <c r="D76" i="10"/>
  <c r="D76" i="5"/>
  <c r="D76" i="8"/>
  <c r="D76" i="7"/>
  <c r="D76" i="9"/>
  <c r="D76" i="11"/>
  <c r="D76" i="12"/>
  <c r="D76" i="2"/>
  <c r="D76" i="1"/>
  <c r="D76" i="3"/>
  <c r="D76" i="4"/>
  <c r="I74" i="11"/>
  <c r="I74" i="12"/>
  <c r="I74" i="10"/>
  <c r="I74" i="8"/>
  <c r="I74" i="6"/>
  <c r="I74" i="7"/>
  <c r="I74" i="5"/>
  <c r="I74" i="4"/>
  <c r="I74" i="2"/>
  <c r="I74" i="9"/>
  <c r="I74" i="3"/>
  <c r="I74" i="1"/>
  <c r="D74" i="8"/>
  <c r="D74" i="9"/>
  <c r="D74" i="6"/>
  <c r="D74" i="10"/>
  <c r="D74" i="3"/>
  <c r="D74" i="11"/>
  <c r="D74" i="4"/>
  <c r="D74" i="5"/>
  <c r="D74" i="12"/>
  <c r="D74" i="7"/>
  <c r="D74" i="2"/>
  <c r="D74" i="1"/>
  <c r="I71" i="11"/>
  <c r="I71" i="12"/>
  <c r="I71" i="8"/>
  <c r="I71" i="5"/>
  <c r="I71" i="7"/>
  <c r="I71" i="3"/>
  <c r="I71" i="10"/>
  <c r="I71" i="6"/>
  <c r="I71" i="2"/>
  <c r="I71" i="9"/>
  <c r="I71" i="4"/>
  <c r="I71" i="1"/>
  <c r="D71" i="10"/>
  <c r="D71" i="6"/>
  <c r="D71" i="8"/>
  <c r="D71" i="9"/>
  <c r="D71" i="11"/>
  <c r="D71" i="4"/>
  <c r="D71" i="12"/>
  <c r="D71" i="2"/>
  <c r="D71" i="5"/>
  <c r="D71" i="1"/>
  <c r="D71" i="3"/>
  <c r="D71" i="7"/>
  <c r="I69" i="12"/>
  <c r="I69" i="10"/>
  <c r="I69" i="8"/>
  <c r="I69" i="9"/>
  <c r="I69" i="11"/>
  <c r="I69" i="5"/>
  <c r="I69" i="4"/>
  <c r="I69" i="7"/>
  <c r="I69" i="3"/>
  <c r="I69" i="2"/>
  <c r="I69" i="6"/>
  <c r="I69" i="1"/>
  <c r="D69" i="7"/>
  <c r="D69" i="5"/>
  <c r="D69" i="8"/>
  <c r="D69" i="9"/>
  <c r="D69" i="2"/>
  <c r="D69" i="1"/>
  <c r="D69" i="3"/>
  <c r="D69" i="11"/>
  <c r="D69" i="4"/>
  <c r="D69" i="10"/>
  <c r="D69" i="12"/>
  <c r="D69" i="6"/>
  <c r="I67" i="8"/>
  <c r="I67" i="11"/>
  <c r="I67" i="9"/>
  <c r="I67" i="6"/>
  <c r="I67" i="12"/>
  <c r="I67" i="3"/>
  <c r="I67" i="10"/>
  <c r="I67" i="7"/>
  <c r="I67" i="5"/>
  <c r="I67" i="4"/>
  <c r="I67" i="2"/>
  <c r="I67" i="1"/>
  <c r="D67" i="10"/>
  <c r="D67" i="6"/>
  <c r="D67" i="7"/>
  <c r="D67" i="8"/>
  <c r="D67" i="11"/>
  <c r="D67" i="4"/>
  <c r="D67" i="9"/>
  <c r="D67" i="5"/>
  <c r="D67" i="12"/>
  <c r="D67" i="2"/>
  <c r="D67" i="1"/>
  <c r="D67" i="3"/>
  <c r="I65" i="12"/>
  <c r="I65" i="10"/>
  <c r="I65" i="9"/>
  <c r="I65" i="7"/>
  <c r="I65" i="5"/>
  <c r="I65" i="6"/>
  <c r="I65" i="4"/>
  <c r="I65" i="11"/>
  <c r="I65" i="8"/>
  <c r="I65" i="2"/>
  <c r="I65" i="3"/>
  <c r="I65" i="1"/>
  <c r="D65" i="6"/>
  <c r="D65" i="7"/>
  <c r="D65" i="9"/>
  <c r="D65" i="5"/>
  <c r="D65" i="10"/>
  <c r="D65" i="2"/>
  <c r="D65" i="1"/>
  <c r="D65" i="3"/>
  <c r="D65" i="11"/>
  <c r="D65" i="4"/>
  <c r="D65" i="8"/>
  <c r="D65" i="12"/>
  <c r="I63" i="11"/>
  <c r="I63" i="10"/>
  <c r="I63" i="7"/>
  <c r="I63" i="3"/>
  <c r="I63" i="12"/>
  <c r="I63" i="9"/>
  <c r="I63" i="6"/>
  <c r="I63" i="5"/>
  <c r="I63" i="4"/>
  <c r="I63" i="2"/>
  <c r="I63" i="8"/>
  <c r="I63" i="1"/>
  <c r="D63" i="5"/>
  <c r="D63" i="10"/>
  <c r="D63" i="6"/>
  <c r="D63" i="8"/>
  <c r="D63" i="9"/>
  <c r="D63" i="11"/>
  <c r="D63" i="4"/>
  <c r="D63" i="7"/>
  <c r="D63" i="12"/>
  <c r="D63" i="2"/>
  <c r="D63" i="1"/>
  <c r="D63" i="3"/>
  <c r="I61" i="8"/>
  <c r="I61" i="12"/>
  <c r="I61" i="10"/>
  <c r="I61" i="4"/>
  <c r="I61" i="7"/>
  <c r="I61" i="9"/>
  <c r="I61" i="11"/>
  <c r="I61" i="2"/>
  <c r="I61" i="5"/>
  <c r="I61" i="6"/>
  <c r="I61" i="3"/>
  <c r="I61" i="1"/>
  <c r="D61" i="9"/>
  <c r="D61" i="5"/>
  <c r="D61" i="7"/>
  <c r="D61" i="10"/>
  <c r="D61" i="2"/>
  <c r="D61" i="6"/>
  <c r="D61" i="1"/>
  <c r="D61" i="3"/>
  <c r="D61" i="11"/>
  <c r="D61" i="4"/>
  <c r="D61" i="12"/>
  <c r="D61" i="8"/>
  <c r="I59" i="9"/>
  <c r="I59" i="11"/>
  <c r="I59" i="8"/>
  <c r="I59" i="6"/>
  <c r="I59" i="10"/>
  <c r="I59" i="5"/>
  <c r="I59" i="3"/>
  <c r="I59" i="12"/>
  <c r="I59" i="7"/>
  <c r="I59" i="2"/>
  <c r="I59" i="4"/>
  <c r="I59" i="1"/>
  <c r="D59" i="6"/>
  <c r="D59" i="8"/>
  <c r="D59" i="10"/>
  <c r="D59" i="9"/>
  <c r="D59" i="11"/>
  <c r="D59" i="4"/>
  <c r="D59" i="12"/>
  <c r="D59" i="7"/>
  <c r="D59" i="2"/>
  <c r="D59" i="1"/>
  <c r="D59" i="3"/>
  <c r="D59" i="5"/>
  <c r="I57" i="12"/>
  <c r="I57" i="10"/>
  <c r="I57" i="9"/>
  <c r="I57" i="11"/>
  <c r="I57" i="7"/>
  <c r="I57" i="8"/>
  <c r="I57" i="6"/>
  <c r="I57" i="4"/>
  <c r="I57" i="5"/>
  <c r="I57" i="3"/>
  <c r="I57" i="2"/>
  <c r="I57" i="1"/>
  <c r="D57" i="5"/>
  <c r="D57" i="9"/>
  <c r="D57" i="7"/>
  <c r="D57" i="6"/>
  <c r="D57" i="10"/>
  <c r="D57" i="2"/>
  <c r="D57" i="8"/>
  <c r="D57" i="1"/>
  <c r="D57" i="3"/>
  <c r="D57" i="11"/>
  <c r="D57" i="4"/>
  <c r="D57" i="12"/>
  <c r="I55" i="11"/>
  <c r="I55" i="5"/>
  <c r="I55" i="9"/>
  <c r="I55" i="7"/>
  <c r="I55" i="3"/>
  <c r="I55" i="10"/>
  <c r="I55" i="8"/>
  <c r="I55" i="6"/>
  <c r="I55" i="12"/>
  <c r="I55" i="2"/>
  <c r="I55" i="4"/>
  <c r="I55" i="1"/>
  <c r="D55" i="7"/>
  <c r="D55" i="8"/>
  <c r="D55" i="6"/>
  <c r="D55" i="10"/>
  <c r="D55" i="9"/>
  <c r="D55" i="11"/>
  <c r="D55" i="4"/>
  <c r="D55" i="12"/>
  <c r="D55" i="5"/>
  <c r="D55" i="2"/>
  <c r="D55" i="1"/>
  <c r="D55" i="3"/>
  <c r="I53" i="10"/>
  <c r="I53" i="8"/>
  <c r="I53" i="11"/>
  <c r="I53" i="5"/>
  <c r="I53" i="4"/>
  <c r="I53" i="9"/>
  <c r="I53" i="7"/>
  <c r="I53" i="6"/>
  <c r="I53" i="12"/>
  <c r="I53" i="3"/>
  <c r="I53" i="2"/>
  <c r="I53" i="1"/>
  <c r="D53" i="7"/>
  <c r="D53" i="8"/>
  <c r="D53" i="5"/>
  <c r="D53" i="10"/>
  <c r="D53" i="9"/>
  <c r="D53" i="3"/>
  <c r="D53" i="11"/>
  <c r="D53" i="4"/>
  <c r="D53" i="6"/>
  <c r="D53" i="12"/>
  <c r="D53" i="2"/>
  <c r="D53" i="1"/>
  <c r="I51" i="8"/>
  <c r="I51" i="12"/>
  <c r="I51" i="11"/>
  <c r="I51" i="9"/>
  <c r="I51" i="6"/>
  <c r="I51" i="3"/>
  <c r="I51" i="4"/>
  <c r="I51" i="10"/>
  <c r="I51" i="2"/>
  <c r="I51" i="7"/>
  <c r="I51" i="5"/>
  <c r="I51" i="1"/>
  <c r="D51" i="10"/>
  <c r="D51" i="9"/>
  <c r="D51" i="6"/>
  <c r="D51" i="7"/>
  <c r="D51" i="8"/>
  <c r="D51" i="12"/>
  <c r="D51" i="2"/>
  <c r="D51" i="1"/>
  <c r="D51" i="3"/>
  <c r="D51" i="11"/>
  <c r="D51" i="4"/>
  <c r="D51" i="5"/>
  <c r="I49" i="10"/>
  <c r="I49" i="9"/>
  <c r="I49" i="8"/>
  <c r="I49" i="7"/>
  <c r="I49" i="5"/>
  <c r="I49" i="6"/>
  <c r="I49" i="4"/>
  <c r="I49" i="11"/>
  <c r="I49" i="3"/>
  <c r="I49" i="12"/>
  <c r="I49" i="2"/>
  <c r="I49" i="1"/>
  <c r="D49" i="5"/>
  <c r="D49" i="6"/>
  <c r="D49" i="7"/>
  <c r="D49" i="8"/>
  <c r="D49" i="10"/>
  <c r="D49" i="9"/>
  <c r="D49" i="3"/>
  <c r="D49" i="11"/>
  <c r="D49" i="4"/>
  <c r="D49" i="12"/>
  <c r="D49" i="2"/>
  <c r="D49" i="1"/>
  <c r="I47" i="11"/>
  <c r="I47" i="10"/>
  <c r="I47" i="9"/>
  <c r="I47" i="12"/>
  <c r="I47" i="8"/>
  <c r="I47" i="7"/>
  <c r="I47" i="3"/>
  <c r="I47" i="6"/>
  <c r="I47" i="5"/>
  <c r="I47" i="4"/>
  <c r="I47" i="2"/>
  <c r="I47" i="1"/>
  <c r="D47" i="10"/>
  <c r="D47" i="9"/>
  <c r="D47" i="5"/>
  <c r="D47" i="6"/>
  <c r="D47" i="8"/>
  <c r="D47" i="7"/>
  <c r="D47" i="12"/>
  <c r="D47" i="2"/>
  <c r="D47" i="1"/>
  <c r="D47" i="3"/>
  <c r="D47" i="11"/>
  <c r="D47" i="4"/>
  <c r="E92" i="3"/>
  <c r="J92" i="3" s="1"/>
  <c r="K92" i="3" s="1"/>
  <c r="E92" i="1"/>
  <c r="J92" i="1" s="1"/>
  <c r="E92" i="2"/>
  <c r="J92" i="2" s="1"/>
  <c r="K92" i="2" s="1"/>
  <c r="E92" i="6"/>
  <c r="J92" i="6" s="1"/>
  <c r="E92" i="8"/>
  <c r="J92" i="8" s="1"/>
  <c r="E92" i="10"/>
  <c r="J92" i="10" s="1"/>
  <c r="E92" i="12"/>
  <c r="J92" i="12" s="1"/>
  <c r="E92" i="4"/>
  <c r="J92" i="4" s="1"/>
  <c r="E92" i="5"/>
  <c r="J92" i="5" s="1"/>
  <c r="E92" i="7"/>
  <c r="J92" i="7" s="1"/>
  <c r="E92" i="9"/>
  <c r="J92" i="9" s="1"/>
  <c r="E92" i="11"/>
  <c r="J92" i="11" s="1"/>
  <c r="E90" i="2"/>
  <c r="J90" i="2" s="1"/>
  <c r="E90" i="4"/>
  <c r="J90" i="4" s="1"/>
  <c r="E90" i="3"/>
  <c r="J90" i="3" s="1"/>
  <c r="J90" i="1"/>
  <c r="E90" i="5"/>
  <c r="J90" i="5" s="1"/>
  <c r="E90" i="7"/>
  <c r="J90" i="7" s="1"/>
  <c r="K90" i="7" s="1"/>
  <c r="E90" i="9"/>
  <c r="J90" i="9" s="1"/>
  <c r="K90" i="9" s="1"/>
  <c r="E90" i="11"/>
  <c r="J90" i="11" s="1"/>
  <c r="K90" i="11" s="1"/>
  <c r="E90" i="6"/>
  <c r="J90" i="6" s="1"/>
  <c r="K90" i="6" s="1"/>
  <c r="E90" i="8"/>
  <c r="J90" i="8" s="1"/>
  <c r="E90" i="10"/>
  <c r="J90" i="10" s="1"/>
  <c r="E90" i="12"/>
  <c r="J90" i="12" s="1"/>
  <c r="E88" i="3"/>
  <c r="J88" i="3" s="1"/>
  <c r="K88" i="3" s="1"/>
  <c r="E88" i="1"/>
  <c r="J88" i="1" s="1"/>
  <c r="E88" i="2"/>
  <c r="J88" i="2" s="1"/>
  <c r="K88" i="2" s="1"/>
  <c r="E88" i="6"/>
  <c r="J88" i="6" s="1"/>
  <c r="K88" i="6" s="1"/>
  <c r="E88" i="8"/>
  <c r="J88" i="8" s="1"/>
  <c r="K88" i="8" s="1"/>
  <c r="E88" i="10"/>
  <c r="J88" i="10" s="1"/>
  <c r="E88" i="12"/>
  <c r="J88" i="12" s="1"/>
  <c r="E88" i="4"/>
  <c r="J88" i="4" s="1"/>
  <c r="E88" i="5"/>
  <c r="J88" i="5" s="1"/>
  <c r="E88" i="7"/>
  <c r="J88" i="7" s="1"/>
  <c r="K88" i="7" s="1"/>
  <c r="E88" i="9"/>
  <c r="J88" i="9" s="1"/>
  <c r="E88" i="11"/>
  <c r="J88" i="11" s="1"/>
  <c r="E86" i="2"/>
  <c r="J86" i="2" s="1"/>
  <c r="E86" i="4"/>
  <c r="J86" i="4" s="1"/>
  <c r="E86" i="3"/>
  <c r="J86" i="3" s="1"/>
  <c r="E86" i="1"/>
  <c r="J86" i="1" s="1"/>
  <c r="E86" i="5"/>
  <c r="J86" i="5" s="1"/>
  <c r="E86" i="7"/>
  <c r="J86" i="7" s="1"/>
  <c r="E86" i="9"/>
  <c r="J86" i="9" s="1"/>
  <c r="E86" i="11"/>
  <c r="J86" i="11" s="1"/>
  <c r="K86" i="11" s="1"/>
  <c r="E86" i="12"/>
  <c r="J86" i="12" s="1"/>
  <c r="E86" i="6"/>
  <c r="J86" i="6" s="1"/>
  <c r="K86" i="6" s="1"/>
  <c r="E86" i="8"/>
  <c r="J86" i="8" s="1"/>
  <c r="E86" i="10"/>
  <c r="J86" i="10" s="1"/>
  <c r="E84" i="3"/>
  <c r="J84" i="3" s="1"/>
  <c r="E84" i="1"/>
  <c r="J84" i="1" s="1"/>
  <c r="E84" i="2"/>
  <c r="J84" i="2" s="1"/>
  <c r="E84" i="4"/>
  <c r="J84" i="4" s="1"/>
  <c r="E84" i="6"/>
  <c r="J84" i="6" s="1"/>
  <c r="E84" i="8"/>
  <c r="J84" i="8" s="1"/>
  <c r="E84" i="10"/>
  <c r="J84" i="10" s="1"/>
  <c r="E84" i="12"/>
  <c r="J84" i="12" s="1"/>
  <c r="E84" i="5"/>
  <c r="J84" i="5" s="1"/>
  <c r="E84" i="7"/>
  <c r="J84" i="7" s="1"/>
  <c r="E84" i="9"/>
  <c r="J84" i="9" s="1"/>
  <c r="E84" i="11"/>
  <c r="J84" i="11" s="1"/>
  <c r="E82" i="2"/>
  <c r="J82" i="2" s="1"/>
  <c r="E82" i="4"/>
  <c r="J82" i="4" s="1"/>
  <c r="E82" i="3"/>
  <c r="J82" i="3" s="1"/>
  <c r="E82" i="1"/>
  <c r="J82" i="1" s="1"/>
  <c r="E82" i="5"/>
  <c r="J82" i="5" s="1"/>
  <c r="E82" i="7"/>
  <c r="J82" i="7" s="1"/>
  <c r="K82" i="7" s="1"/>
  <c r="E82" i="9"/>
  <c r="J82" i="9" s="1"/>
  <c r="E82" i="11"/>
  <c r="J82" i="11" s="1"/>
  <c r="E82" i="12"/>
  <c r="J82" i="12" s="1"/>
  <c r="E82" i="6"/>
  <c r="J82" i="6" s="1"/>
  <c r="E82" i="8"/>
  <c r="J82" i="8" s="1"/>
  <c r="E82" i="10"/>
  <c r="J82" i="10" s="1"/>
  <c r="E80" i="3"/>
  <c r="J80" i="3" s="1"/>
  <c r="K80" i="3" s="1"/>
  <c r="E80" i="1"/>
  <c r="J80" i="1" s="1"/>
  <c r="E80" i="2"/>
  <c r="J80" i="2" s="1"/>
  <c r="K80" i="2" s="1"/>
  <c r="E80" i="4"/>
  <c r="J80" i="4" s="1"/>
  <c r="E80" i="6"/>
  <c r="J80" i="6" s="1"/>
  <c r="E80" i="8"/>
  <c r="J80" i="8" s="1"/>
  <c r="E80" i="10"/>
  <c r="J80" i="10" s="1"/>
  <c r="E80" i="12"/>
  <c r="J80" i="12" s="1"/>
  <c r="E80" i="5"/>
  <c r="J80" i="5" s="1"/>
  <c r="E80" i="7"/>
  <c r="J80" i="7" s="1"/>
  <c r="E80" i="9"/>
  <c r="J80" i="9" s="1"/>
  <c r="E80" i="11"/>
  <c r="J80" i="11" s="1"/>
  <c r="E78" i="2"/>
  <c r="J78" i="2" s="1"/>
  <c r="E78" i="4"/>
  <c r="J78" i="4" s="1"/>
  <c r="E78" i="3"/>
  <c r="J78" i="3" s="1"/>
  <c r="E78" i="1"/>
  <c r="J78" i="1" s="1"/>
  <c r="E78" i="5"/>
  <c r="J78" i="5" s="1"/>
  <c r="E78" i="7"/>
  <c r="J78" i="7" s="1"/>
  <c r="E78" i="9"/>
  <c r="J78" i="9" s="1"/>
  <c r="E78" i="11"/>
  <c r="J78" i="11" s="1"/>
  <c r="E78" i="6"/>
  <c r="J78" i="6" s="1"/>
  <c r="K78" i="6" s="1"/>
  <c r="E78" i="8"/>
  <c r="J78" i="8" s="1"/>
  <c r="E78" i="10"/>
  <c r="J78" i="10" s="1"/>
  <c r="E78" i="12"/>
  <c r="J78" i="12" s="1"/>
  <c r="E76" i="3"/>
  <c r="J76" i="3" s="1"/>
  <c r="E76" i="1"/>
  <c r="J76" i="1" s="1"/>
  <c r="E76" i="2"/>
  <c r="J76" i="2" s="1"/>
  <c r="K76" i="2" s="1"/>
  <c r="E76" i="6"/>
  <c r="J76" i="6" s="1"/>
  <c r="E76" i="8"/>
  <c r="J76" i="8" s="1"/>
  <c r="E76" i="10"/>
  <c r="J76" i="10" s="1"/>
  <c r="E76" i="12"/>
  <c r="J76" i="12" s="1"/>
  <c r="E76" i="4"/>
  <c r="J76" i="4" s="1"/>
  <c r="E76" i="5"/>
  <c r="J76" i="5" s="1"/>
  <c r="E76" i="7"/>
  <c r="J76" i="7" s="1"/>
  <c r="E76" i="9"/>
  <c r="J76" i="9" s="1"/>
  <c r="E76" i="11"/>
  <c r="J76" i="11" s="1"/>
  <c r="E74" i="2"/>
  <c r="J74" i="2" s="1"/>
  <c r="E74" i="4"/>
  <c r="J74" i="4" s="1"/>
  <c r="E74" i="3"/>
  <c r="J74" i="3" s="1"/>
  <c r="E74" i="1"/>
  <c r="J74" i="1" s="1"/>
  <c r="E74" i="5"/>
  <c r="J74" i="5" s="1"/>
  <c r="E74" i="7"/>
  <c r="J74" i="7" s="1"/>
  <c r="K74" i="7" s="1"/>
  <c r="E74" i="9"/>
  <c r="J74" i="9" s="1"/>
  <c r="E74" i="11"/>
  <c r="J74" i="11" s="1"/>
  <c r="E74" i="12"/>
  <c r="J74" i="12" s="1"/>
  <c r="E74" i="6"/>
  <c r="J74" i="6" s="1"/>
  <c r="E74" i="8"/>
  <c r="J74" i="8" s="1"/>
  <c r="E74" i="10"/>
  <c r="J74" i="10" s="1"/>
  <c r="E71" i="3"/>
  <c r="J71" i="3" s="1"/>
  <c r="E71" i="1"/>
  <c r="J71" i="1" s="1"/>
  <c r="E71" i="2"/>
  <c r="J71" i="2" s="1"/>
  <c r="E71" i="5"/>
  <c r="J71" i="5" s="1"/>
  <c r="K71" i="5" s="1"/>
  <c r="E71" i="7"/>
  <c r="J71" i="7" s="1"/>
  <c r="K71" i="7" s="1"/>
  <c r="E71" i="9"/>
  <c r="J71" i="9" s="1"/>
  <c r="E71" i="11"/>
  <c r="J71" i="11" s="1"/>
  <c r="E71" i="12"/>
  <c r="J71" i="12" s="1"/>
  <c r="E71" i="4"/>
  <c r="J71" i="4" s="1"/>
  <c r="E71" i="6"/>
  <c r="J71" i="6" s="1"/>
  <c r="E71" i="8"/>
  <c r="J71" i="8" s="1"/>
  <c r="K71" i="8" s="1"/>
  <c r="E71" i="10"/>
  <c r="J71" i="10" s="1"/>
  <c r="E69" i="1"/>
  <c r="J69" i="1" s="1"/>
  <c r="E69" i="2"/>
  <c r="J69" i="2" s="1"/>
  <c r="E69" i="4"/>
  <c r="J69" i="4" s="1"/>
  <c r="K69" i="4" s="1"/>
  <c r="E69" i="3"/>
  <c r="J69" i="3" s="1"/>
  <c r="E69" i="6"/>
  <c r="J69" i="6" s="1"/>
  <c r="E69" i="8"/>
  <c r="J69" i="8" s="1"/>
  <c r="E69" i="10"/>
  <c r="J69" i="10" s="1"/>
  <c r="E69" i="12"/>
  <c r="J69" i="12" s="1"/>
  <c r="E69" i="5"/>
  <c r="J69" i="5" s="1"/>
  <c r="E69" i="7"/>
  <c r="J69" i="7" s="1"/>
  <c r="E69" i="9"/>
  <c r="J69" i="9" s="1"/>
  <c r="E69" i="11"/>
  <c r="J69" i="11" s="1"/>
  <c r="E67" i="3"/>
  <c r="J67" i="3" s="1"/>
  <c r="E67" i="1"/>
  <c r="J67" i="1" s="1"/>
  <c r="E67" i="2"/>
  <c r="J67" i="2" s="1"/>
  <c r="K67" i="2" s="1"/>
  <c r="E67" i="4"/>
  <c r="J67" i="4" s="1"/>
  <c r="E67" i="5"/>
  <c r="J67" i="5" s="1"/>
  <c r="E67" i="7"/>
  <c r="J67" i="7" s="1"/>
  <c r="E67" i="9"/>
  <c r="J67" i="9" s="1"/>
  <c r="E67" i="11"/>
  <c r="J67" i="11" s="1"/>
  <c r="E67" i="6"/>
  <c r="J67" i="6" s="1"/>
  <c r="E67" i="8"/>
  <c r="J67" i="8" s="1"/>
  <c r="E67" i="10"/>
  <c r="J67" i="10" s="1"/>
  <c r="K67" i="10" s="1"/>
  <c r="E67" i="12"/>
  <c r="J67" i="12" s="1"/>
  <c r="E65" i="1"/>
  <c r="J65" i="1" s="1"/>
  <c r="E65" i="2"/>
  <c r="J65" i="2" s="1"/>
  <c r="E65" i="4"/>
  <c r="J65" i="4" s="1"/>
  <c r="K65" i="4" s="1"/>
  <c r="E65" i="3"/>
  <c r="J65" i="3" s="1"/>
  <c r="E65" i="6"/>
  <c r="J65" i="6" s="1"/>
  <c r="E65" i="8"/>
  <c r="J65" i="8" s="1"/>
  <c r="E65" i="10"/>
  <c r="J65" i="10" s="1"/>
  <c r="E65" i="12"/>
  <c r="J65" i="12" s="1"/>
  <c r="E65" i="5"/>
  <c r="J65" i="5" s="1"/>
  <c r="K65" i="5" s="1"/>
  <c r="E65" i="7"/>
  <c r="J65" i="7" s="1"/>
  <c r="E65" i="9"/>
  <c r="J65" i="9" s="1"/>
  <c r="E65" i="11"/>
  <c r="J65" i="11" s="1"/>
  <c r="K65" i="11" s="1"/>
  <c r="E63" i="3"/>
  <c r="J63" i="3" s="1"/>
  <c r="E63" i="1"/>
  <c r="J63" i="1" s="1"/>
  <c r="E63" i="2"/>
  <c r="J63" i="2" s="1"/>
  <c r="E63" i="5"/>
  <c r="J63" i="5" s="1"/>
  <c r="K63" i="5" s="1"/>
  <c r="E63" i="7"/>
  <c r="J63" i="7" s="1"/>
  <c r="E63" i="9"/>
  <c r="J63" i="9" s="1"/>
  <c r="K63" i="9" s="1"/>
  <c r="E63" i="11"/>
  <c r="J63" i="11" s="1"/>
  <c r="E63" i="12"/>
  <c r="J63" i="12" s="1"/>
  <c r="E63" i="4"/>
  <c r="J63" i="4" s="1"/>
  <c r="K63" i="4" s="1"/>
  <c r="E63" i="6"/>
  <c r="J63" i="6" s="1"/>
  <c r="E63" i="8"/>
  <c r="J63" i="8" s="1"/>
  <c r="K63" i="8" s="1"/>
  <c r="E63" i="10"/>
  <c r="J63" i="10" s="1"/>
  <c r="E61" i="1"/>
  <c r="J61" i="1" s="1"/>
  <c r="E61" i="2"/>
  <c r="J61" i="2" s="1"/>
  <c r="E61" i="4"/>
  <c r="J61" i="4" s="1"/>
  <c r="E61" i="3"/>
  <c r="J61" i="3" s="1"/>
  <c r="E61" i="6"/>
  <c r="J61" i="6" s="1"/>
  <c r="E61" i="8"/>
  <c r="J61" i="8" s="1"/>
  <c r="E61" i="10"/>
  <c r="J61" i="10" s="1"/>
  <c r="K61" i="10" s="1"/>
  <c r="E61" i="12"/>
  <c r="J61" i="12" s="1"/>
  <c r="E61" i="5"/>
  <c r="J61" i="5" s="1"/>
  <c r="E61" i="7"/>
  <c r="J61" i="7" s="1"/>
  <c r="E61" i="9"/>
  <c r="J61" i="9" s="1"/>
  <c r="E61" i="11"/>
  <c r="J61" i="11" s="1"/>
  <c r="E59" i="3"/>
  <c r="J59" i="3" s="1"/>
  <c r="E59" i="1"/>
  <c r="J59" i="1" s="1"/>
  <c r="E59" i="2"/>
  <c r="J59" i="2" s="1"/>
  <c r="E59" i="4"/>
  <c r="J59" i="4" s="1"/>
  <c r="E59" i="5"/>
  <c r="J59" i="5" s="1"/>
  <c r="E59" i="7"/>
  <c r="J59" i="7" s="1"/>
  <c r="E59" i="9"/>
  <c r="J59" i="9" s="1"/>
  <c r="E59" i="11"/>
  <c r="J59" i="11" s="1"/>
  <c r="E59" i="6"/>
  <c r="J59" i="6" s="1"/>
  <c r="E59" i="8"/>
  <c r="J59" i="8" s="1"/>
  <c r="E59" i="10"/>
  <c r="J59" i="10" s="1"/>
  <c r="E59" i="12"/>
  <c r="J59" i="12" s="1"/>
  <c r="K59" i="12" s="1"/>
  <c r="E57" i="1"/>
  <c r="J57" i="1" s="1"/>
  <c r="E57" i="2"/>
  <c r="J57" i="2" s="1"/>
  <c r="E57" i="4"/>
  <c r="J57" i="4" s="1"/>
  <c r="E57" i="3"/>
  <c r="J57" i="3" s="1"/>
  <c r="E57" i="6"/>
  <c r="J57" i="6" s="1"/>
  <c r="E57" i="8"/>
  <c r="J57" i="8" s="1"/>
  <c r="K57" i="8" s="1"/>
  <c r="E57" i="10"/>
  <c r="J57" i="10" s="1"/>
  <c r="E57" i="12"/>
  <c r="J57" i="12" s="1"/>
  <c r="E57" i="5"/>
  <c r="J57" i="5" s="1"/>
  <c r="E57" i="7"/>
  <c r="J57" i="7" s="1"/>
  <c r="E57" i="9"/>
  <c r="J57" i="9" s="1"/>
  <c r="E57" i="11"/>
  <c r="J57" i="11" s="1"/>
  <c r="E55" i="3"/>
  <c r="J55" i="3" s="1"/>
  <c r="E55" i="1"/>
  <c r="E55" i="2"/>
  <c r="J55" i="2" s="1"/>
  <c r="E55" i="5"/>
  <c r="J55" i="5" s="1"/>
  <c r="E55" i="7"/>
  <c r="J55" i="7" s="1"/>
  <c r="E55" i="9"/>
  <c r="J55" i="9" s="1"/>
  <c r="E55" i="11"/>
  <c r="J55" i="11" s="1"/>
  <c r="E55" i="12"/>
  <c r="J55" i="12" s="1"/>
  <c r="E55" i="6"/>
  <c r="J55" i="6" s="1"/>
  <c r="E55" i="8"/>
  <c r="J55" i="8" s="1"/>
  <c r="E55" i="10"/>
  <c r="J55" i="10" s="1"/>
  <c r="E55" i="4"/>
  <c r="J55" i="4" s="1"/>
  <c r="E53" i="1"/>
  <c r="J53" i="1" s="1"/>
  <c r="E53" i="2"/>
  <c r="J53" i="2" s="1"/>
  <c r="E53" i="4"/>
  <c r="J53" i="4" s="1"/>
  <c r="E53" i="3"/>
  <c r="J53" i="3" s="1"/>
  <c r="E53" i="6"/>
  <c r="E53" i="8"/>
  <c r="J53" i="8" s="1"/>
  <c r="K53" i="8" s="1"/>
  <c r="E53" i="10"/>
  <c r="J53" i="10" s="1"/>
  <c r="E53" i="12"/>
  <c r="J53" i="12" s="1"/>
  <c r="E53" i="5"/>
  <c r="J53" i="5" s="1"/>
  <c r="E53" i="7"/>
  <c r="J53" i="7" s="1"/>
  <c r="E53" i="9"/>
  <c r="J53" i="9" s="1"/>
  <c r="E53" i="11"/>
  <c r="J53" i="11" s="1"/>
  <c r="E51" i="3"/>
  <c r="J51" i="3" s="1"/>
  <c r="E51" i="1"/>
  <c r="J51" i="1" s="1"/>
  <c r="E51" i="2"/>
  <c r="J51" i="2" s="1"/>
  <c r="E51" i="5"/>
  <c r="J51" i="5" s="1"/>
  <c r="E51" i="7"/>
  <c r="J51" i="7" s="1"/>
  <c r="E51" i="9"/>
  <c r="J51" i="9" s="1"/>
  <c r="E51" i="11"/>
  <c r="J51" i="11" s="1"/>
  <c r="E51" i="4"/>
  <c r="J51" i="4" s="1"/>
  <c r="E51" i="6"/>
  <c r="J51" i="6" s="1"/>
  <c r="E51" i="8"/>
  <c r="J51" i="8" s="1"/>
  <c r="E51" i="10"/>
  <c r="J51" i="10" s="1"/>
  <c r="E51" i="12"/>
  <c r="J51" i="12" s="1"/>
  <c r="E49" i="1"/>
  <c r="J49" i="1" s="1"/>
  <c r="E49" i="2"/>
  <c r="J49" i="2" s="1"/>
  <c r="E49" i="4"/>
  <c r="J49" i="4" s="1"/>
  <c r="K49" i="4" s="1"/>
  <c r="E49" i="3"/>
  <c r="J49" i="3" s="1"/>
  <c r="E49" i="6"/>
  <c r="J49" i="6" s="1"/>
  <c r="E49" i="8"/>
  <c r="J49" i="8" s="1"/>
  <c r="E49" i="10"/>
  <c r="J49" i="10" s="1"/>
  <c r="E49" i="12"/>
  <c r="J49" i="12" s="1"/>
  <c r="E49" i="5"/>
  <c r="J49" i="5" s="1"/>
  <c r="K49" i="5" s="1"/>
  <c r="E49" i="7"/>
  <c r="J49" i="7" s="1"/>
  <c r="E49" i="9"/>
  <c r="J49" i="9" s="1"/>
  <c r="E49" i="11"/>
  <c r="J49" i="11" s="1"/>
  <c r="K49" i="11" s="1"/>
  <c r="E47" i="3"/>
  <c r="J47" i="3" s="1"/>
  <c r="E47" i="1"/>
  <c r="J47" i="1" s="1"/>
  <c r="E47" i="2"/>
  <c r="J47" i="2" s="1"/>
  <c r="K47" i="2" s="1"/>
  <c r="E47" i="5"/>
  <c r="J47" i="5" s="1"/>
  <c r="E47" i="7"/>
  <c r="J47" i="7" s="1"/>
  <c r="E47" i="9"/>
  <c r="J47" i="9" s="1"/>
  <c r="E47" i="11"/>
  <c r="J47" i="11" s="1"/>
  <c r="E47" i="4"/>
  <c r="J47" i="4" s="1"/>
  <c r="E47" i="12"/>
  <c r="J47" i="12" s="1"/>
  <c r="E47" i="6"/>
  <c r="J47" i="6" s="1"/>
  <c r="E47" i="8"/>
  <c r="J47" i="8" s="1"/>
  <c r="E47" i="10"/>
  <c r="J47" i="10" s="1"/>
  <c r="E103" i="2"/>
  <c r="J103" i="2" s="1"/>
  <c r="E103" i="4"/>
  <c r="J103" i="4" s="1"/>
  <c r="E103" i="3"/>
  <c r="J103" i="3" s="1"/>
  <c r="E103" i="1"/>
  <c r="J103" i="1" s="1"/>
  <c r="E103" i="5"/>
  <c r="J103" i="5" s="1"/>
  <c r="E103" i="7"/>
  <c r="J103" i="7" s="1"/>
  <c r="K103" i="7" s="1"/>
  <c r="E103" i="9"/>
  <c r="J103" i="9" s="1"/>
  <c r="E103" i="11"/>
  <c r="J103" i="11" s="1"/>
  <c r="K103" i="11" s="1"/>
  <c r="E103" i="6"/>
  <c r="J103" i="6" s="1"/>
  <c r="E103" i="8"/>
  <c r="J103" i="8" s="1"/>
  <c r="E103" i="10"/>
  <c r="J103" i="10" s="1"/>
  <c r="E103" i="12"/>
  <c r="J103" i="12" s="1"/>
  <c r="I110" i="8"/>
  <c r="I110" i="12"/>
  <c r="I110" i="10"/>
  <c r="I110" i="7"/>
  <c r="I110" i="5"/>
  <c r="I110" i="4"/>
  <c r="I110" i="2"/>
  <c r="I110" i="9"/>
  <c r="I110" i="6"/>
  <c r="I110" i="3"/>
  <c r="I110" i="11"/>
  <c r="I110" i="1"/>
  <c r="D110" i="5"/>
  <c r="F110" i="5" s="1"/>
  <c r="D110" i="11"/>
  <c r="D110" i="7"/>
  <c r="D110" i="10"/>
  <c r="F110" i="10" s="1"/>
  <c r="D110" i="8"/>
  <c r="D110" i="9"/>
  <c r="D110" i="2"/>
  <c r="D110" i="1"/>
  <c r="D110" i="3"/>
  <c r="D110" i="4"/>
  <c r="D110" i="12"/>
  <c r="D110" i="6"/>
  <c r="I108" i="9"/>
  <c r="I108" i="11"/>
  <c r="I108" i="8"/>
  <c r="I108" i="10"/>
  <c r="I108" i="7"/>
  <c r="I108" i="6"/>
  <c r="I108" i="5"/>
  <c r="I108" i="3"/>
  <c r="I108" i="12"/>
  <c r="I108" i="2"/>
  <c r="I108" i="4"/>
  <c r="I108" i="1"/>
  <c r="D108" i="8"/>
  <c r="D108" i="6"/>
  <c r="F108" i="6" s="1"/>
  <c r="D108" i="11"/>
  <c r="D108" i="7"/>
  <c r="D108" i="10"/>
  <c r="D108" i="4"/>
  <c r="D108" i="12"/>
  <c r="D108" i="5"/>
  <c r="D108" i="2"/>
  <c r="D108" i="1"/>
  <c r="D108" i="3"/>
  <c r="D108" i="9"/>
  <c r="I104" i="11"/>
  <c r="I104" i="9"/>
  <c r="I104" i="7"/>
  <c r="I104" i="8"/>
  <c r="I104" i="10"/>
  <c r="I104" i="3"/>
  <c r="I104" i="6"/>
  <c r="I104" i="2"/>
  <c r="I104" i="12"/>
  <c r="I104" i="5"/>
  <c r="I104" i="4"/>
  <c r="I104" i="1"/>
  <c r="D104" i="6"/>
  <c r="D104" i="8"/>
  <c r="D104" i="11"/>
  <c r="D104" i="9"/>
  <c r="D104" i="10"/>
  <c r="D104" i="4"/>
  <c r="F104" i="4" s="1"/>
  <c r="D104" i="12"/>
  <c r="D104" i="2"/>
  <c r="F104" i="2" s="1"/>
  <c r="D104" i="1"/>
  <c r="D104" i="3"/>
  <c r="D104" i="7"/>
  <c r="D104" i="5"/>
  <c r="I102" i="7"/>
  <c r="I102" i="12"/>
  <c r="I102" i="10"/>
  <c r="I102" i="8"/>
  <c r="I102" i="9"/>
  <c r="I102" i="5"/>
  <c r="I102" i="11"/>
  <c r="I102" i="4"/>
  <c r="I102" i="2"/>
  <c r="I102" i="6"/>
  <c r="I102" i="3"/>
  <c r="I102" i="1"/>
  <c r="D102" i="5"/>
  <c r="F102" i="5" s="1"/>
  <c r="D102" i="7"/>
  <c r="F102" i="7" s="1"/>
  <c r="D102" i="8"/>
  <c r="D102" i="9"/>
  <c r="D102" i="11"/>
  <c r="D102" i="10"/>
  <c r="D102" i="2"/>
  <c r="D102" i="1"/>
  <c r="D102" i="3"/>
  <c r="D102" i="4"/>
  <c r="D102" i="6"/>
  <c r="D102" i="12"/>
  <c r="I100" i="9"/>
  <c r="I100" i="8"/>
  <c r="I100" i="11"/>
  <c r="I100" i="12"/>
  <c r="I100" i="6"/>
  <c r="I100" i="5"/>
  <c r="I100" i="3"/>
  <c r="I100" i="10"/>
  <c r="I100" i="7"/>
  <c r="I100" i="4"/>
  <c r="I100" i="2"/>
  <c r="I100" i="1"/>
  <c r="D100" i="6"/>
  <c r="D100" i="7"/>
  <c r="F100" i="7" s="1"/>
  <c r="D100" i="8"/>
  <c r="D100" i="10"/>
  <c r="D100" i="11"/>
  <c r="D100" i="4"/>
  <c r="D100" i="12"/>
  <c r="D100" i="9"/>
  <c r="D100" i="5"/>
  <c r="F100" i="5" s="1"/>
  <c r="D100" i="2"/>
  <c r="D100" i="1"/>
  <c r="D100" i="3"/>
  <c r="I98" i="12"/>
  <c r="I98" i="10"/>
  <c r="I98" i="7"/>
  <c r="I98" i="9"/>
  <c r="I98" i="6"/>
  <c r="I98" i="4"/>
  <c r="I98" i="2"/>
  <c r="I98" i="11"/>
  <c r="I98" i="8"/>
  <c r="I98" i="5"/>
  <c r="I98" i="3"/>
  <c r="I98" i="1"/>
  <c r="D98" i="6"/>
  <c r="D98" i="7"/>
  <c r="F98" i="7" s="1"/>
  <c r="D98" i="10"/>
  <c r="D98" i="11"/>
  <c r="F98" i="11" s="1"/>
  <c r="D98" i="5"/>
  <c r="F98" i="5" s="1"/>
  <c r="D98" i="9"/>
  <c r="D98" i="2"/>
  <c r="D98" i="1"/>
  <c r="D98" i="3"/>
  <c r="D98" i="4"/>
  <c r="D98" i="12"/>
  <c r="D98" i="8"/>
  <c r="I96" i="11"/>
  <c r="I96" i="9"/>
  <c r="I96" i="12"/>
  <c r="I96" i="7"/>
  <c r="I96" i="3"/>
  <c r="I96" i="6"/>
  <c r="I96" i="8"/>
  <c r="I96" i="4"/>
  <c r="I96" i="10"/>
  <c r="I96" i="5"/>
  <c r="I96" i="2"/>
  <c r="I96" i="1"/>
  <c r="D96" i="8"/>
  <c r="D96" i="6"/>
  <c r="D96" i="7"/>
  <c r="D96" i="10"/>
  <c r="D96" i="11"/>
  <c r="D96" i="4"/>
  <c r="D96" i="12"/>
  <c r="D96" i="2"/>
  <c r="F96" i="2" s="1"/>
  <c r="D96" i="9"/>
  <c r="D96" i="1"/>
  <c r="D96" i="3"/>
  <c r="D96" i="5"/>
  <c r="I93" i="8"/>
  <c r="I93" i="12"/>
  <c r="I93" i="10"/>
  <c r="I93" i="5"/>
  <c r="I93" i="4"/>
  <c r="I93" i="2"/>
  <c r="I93" i="9"/>
  <c r="I93" i="7"/>
  <c r="I93" i="11"/>
  <c r="I93" i="6"/>
  <c r="I93" i="3"/>
  <c r="I93" i="1"/>
  <c r="D93" i="5"/>
  <c r="F93" i="5" s="1"/>
  <c r="D93" i="6"/>
  <c r="D93" i="7"/>
  <c r="D93" i="10"/>
  <c r="D93" i="11"/>
  <c r="D93" i="9"/>
  <c r="D93" i="8"/>
  <c r="D93" i="2"/>
  <c r="D93" i="1"/>
  <c r="F93" i="1" s="1"/>
  <c r="D93" i="3"/>
  <c r="D93" i="4"/>
  <c r="F93" i="4" s="1"/>
  <c r="D93" i="12"/>
  <c r="I91" i="9"/>
  <c r="I91" i="11"/>
  <c r="I91" i="8"/>
  <c r="I91" i="10"/>
  <c r="I91" i="6"/>
  <c r="I91" i="5"/>
  <c r="I91" i="3"/>
  <c r="I91" i="12"/>
  <c r="I91" i="7"/>
  <c r="I91" i="2"/>
  <c r="I91" i="4"/>
  <c r="I91" i="1"/>
  <c r="D91" i="8"/>
  <c r="D91" i="9"/>
  <c r="D91" i="6"/>
  <c r="D91" i="7"/>
  <c r="D91" i="10"/>
  <c r="D91" i="11"/>
  <c r="D91" i="4"/>
  <c r="D91" i="12"/>
  <c r="F91" i="12" s="1"/>
  <c r="D91" i="5"/>
  <c r="F91" i="5" s="1"/>
  <c r="D91" i="2"/>
  <c r="D91" i="1"/>
  <c r="D91" i="3"/>
  <c r="I89" i="12"/>
  <c r="I89" i="10"/>
  <c r="I89" i="9"/>
  <c r="I89" i="11"/>
  <c r="I89" i="7"/>
  <c r="I89" i="8"/>
  <c r="I89" i="6"/>
  <c r="I89" i="4"/>
  <c r="I89" i="2"/>
  <c r="I89" i="5"/>
  <c r="I89" i="3"/>
  <c r="I89" i="1"/>
  <c r="D89" i="10"/>
  <c r="D89" i="11"/>
  <c r="D89" i="9"/>
  <c r="F89" i="9" s="1"/>
  <c r="D89" i="5"/>
  <c r="D89" i="7"/>
  <c r="D89" i="2"/>
  <c r="F89" i="2" s="1"/>
  <c r="D89" i="6"/>
  <c r="D89" i="1"/>
  <c r="D89" i="3"/>
  <c r="D89" i="8"/>
  <c r="D89" i="4"/>
  <c r="F89" i="4" s="1"/>
  <c r="D89" i="12"/>
  <c r="I87" i="11"/>
  <c r="I87" i="9"/>
  <c r="I87" i="10"/>
  <c r="I87" i="7"/>
  <c r="I87" i="3"/>
  <c r="I87" i="8"/>
  <c r="I87" i="6"/>
  <c r="I87" i="5"/>
  <c r="I87" i="2"/>
  <c r="I87" i="4"/>
  <c r="I87" i="12"/>
  <c r="I87" i="1"/>
  <c r="D87" i="6"/>
  <c r="D87" i="9"/>
  <c r="D87" i="10"/>
  <c r="D87" i="11"/>
  <c r="F87" i="11" s="1"/>
  <c r="D87" i="8"/>
  <c r="D87" i="4"/>
  <c r="D87" i="12"/>
  <c r="D87" i="7"/>
  <c r="D87" i="2"/>
  <c r="D87" i="5"/>
  <c r="F87" i="5" s="1"/>
  <c r="D87" i="1"/>
  <c r="D87" i="3"/>
  <c r="I85" i="12"/>
  <c r="I85" i="10"/>
  <c r="I85" i="8"/>
  <c r="I85" i="5"/>
  <c r="I85" i="11"/>
  <c r="I85" i="9"/>
  <c r="I85" i="4"/>
  <c r="I85" i="2"/>
  <c r="I85" i="7"/>
  <c r="I85" i="3"/>
  <c r="I85" i="6"/>
  <c r="I85" i="1"/>
  <c r="D85" i="10"/>
  <c r="D85" i="11"/>
  <c r="D85" i="5"/>
  <c r="D85" i="8"/>
  <c r="D85" i="7"/>
  <c r="D85" i="9"/>
  <c r="D85" i="2"/>
  <c r="D85" i="1"/>
  <c r="D85" i="3"/>
  <c r="D85" i="4"/>
  <c r="D85" i="6"/>
  <c r="D85" i="12"/>
  <c r="I83" i="8"/>
  <c r="I83" i="11"/>
  <c r="I83" i="9"/>
  <c r="I83" i="12"/>
  <c r="I83" i="6"/>
  <c r="I83" i="5"/>
  <c r="I83" i="3"/>
  <c r="I83" i="10"/>
  <c r="I83" i="7"/>
  <c r="I83" i="2"/>
  <c r="I83" i="4"/>
  <c r="I83" i="1"/>
  <c r="D83" i="7"/>
  <c r="D83" i="9"/>
  <c r="D83" i="10"/>
  <c r="D83" i="11"/>
  <c r="D83" i="6"/>
  <c r="D83" i="8"/>
  <c r="D83" i="4"/>
  <c r="D83" i="5"/>
  <c r="D83" i="12"/>
  <c r="D83" i="2"/>
  <c r="D83" i="1"/>
  <c r="D83" i="3"/>
  <c r="I81" i="12"/>
  <c r="I81" i="10"/>
  <c r="I81" i="9"/>
  <c r="I81" i="8"/>
  <c r="I81" i="7"/>
  <c r="I81" i="6"/>
  <c r="I81" i="4"/>
  <c r="I81" i="11"/>
  <c r="I81" i="5"/>
  <c r="I81" i="2"/>
  <c r="I81" i="3"/>
  <c r="I81" i="1"/>
  <c r="D81" i="10"/>
  <c r="D81" i="6"/>
  <c r="D81" i="8"/>
  <c r="D81" i="7"/>
  <c r="D81" i="9"/>
  <c r="D81" i="5"/>
  <c r="D81" i="2"/>
  <c r="D81" i="1"/>
  <c r="D81" i="3"/>
  <c r="D81" i="11"/>
  <c r="D81" i="4"/>
  <c r="D81" i="12"/>
  <c r="I79" i="11"/>
  <c r="I79" i="12"/>
  <c r="I79" i="8"/>
  <c r="I79" i="7"/>
  <c r="I79" i="3"/>
  <c r="I79" i="6"/>
  <c r="I79" i="4"/>
  <c r="I79" i="2"/>
  <c r="I79" i="9"/>
  <c r="I79" i="5"/>
  <c r="I79" i="10"/>
  <c r="I79" i="1"/>
  <c r="D79" i="7"/>
  <c r="D79" i="9"/>
  <c r="D79" i="6"/>
  <c r="D79" i="10"/>
  <c r="D79" i="11"/>
  <c r="D79" i="8"/>
  <c r="D79" i="4"/>
  <c r="D79" i="12"/>
  <c r="D79" i="2"/>
  <c r="D79" i="5"/>
  <c r="F79" i="5" s="1"/>
  <c r="D79" i="1"/>
  <c r="D79" i="3"/>
  <c r="I77" i="8"/>
  <c r="I77" i="12"/>
  <c r="I77" i="10"/>
  <c r="I77" i="9"/>
  <c r="I77" i="5"/>
  <c r="I77" i="4"/>
  <c r="I77" i="7"/>
  <c r="I77" i="6"/>
  <c r="I77" i="3"/>
  <c r="I77" i="11"/>
  <c r="I77" i="2"/>
  <c r="I77" i="1"/>
  <c r="D77" i="10"/>
  <c r="D77" i="5"/>
  <c r="F77" i="5" s="1"/>
  <c r="D77" i="8"/>
  <c r="D77" i="7"/>
  <c r="D77" i="9"/>
  <c r="D77" i="2"/>
  <c r="F77" i="2" s="1"/>
  <c r="D77" i="6"/>
  <c r="D77" i="1"/>
  <c r="D77" i="3"/>
  <c r="D77" i="4"/>
  <c r="D77" i="11"/>
  <c r="D77" i="12"/>
  <c r="I75" i="9"/>
  <c r="I75" i="11"/>
  <c r="I75" i="8"/>
  <c r="I75" i="10"/>
  <c r="I75" i="6"/>
  <c r="I75" i="5"/>
  <c r="I75" i="3"/>
  <c r="I75" i="12"/>
  <c r="I75" i="4"/>
  <c r="I75" i="7"/>
  <c r="I75" i="2"/>
  <c r="I75" i="1"/>
  <c r="D75" i="7"/>
  <c r="F75" i="7" s="1"/>
  <c r="D75" i="6"/>
  <c r="D75" i="10"/>
  <c r="D75" i="11"/>
  <c r="D75" i="8"/>
  <c r="F75" i="8" s="1"/>
  <c r="D75" i="4"/>
  <c r="D75" i="5"/>
  <c r="D75" i="12"/>
  <c r="D75" i="2"/>
  <c r="D75" i="1"/>
  <c r="D75" i="3"/>
  <c r="D75" i="9"/>
  <c r="I72" i="12"/>
  <c r="I72" i="10"/>
  <c r="I72" i="11"/>
  <c r="I72" i="9"/>
  <c r="I72" i="8"/>
  <c r="I72" i="7"/>
  <c r="I72" i="6"/>
  <c r="I72" i="3"/>
  <c r="I72" i="4"/>
  <c r="I72" i="2"/>
  <c r="I72" i="5"/>
  <c r="I72" i="1"/>
  <c r="D72" i="5"/>
  <c r="F72" i="5" s="1"/>
  <c r="D72" i="10"/>
  <c r="D72" i="7"/>
  <c r="D72" i="8"/>
  <c r="D72" i="9"/>
  <c r="D72" i="12"/>
  <c r="D72" i="2"/>
  <c r="F72" i="2" s="1"/>
  <c r="D72" i="1"/>
  <c r="D72" i="3"/>
  <c r="F72" i="3" s="1"/>
  <c r="D72" i="6"/>
  <c r="D72" i="11"/>
  <c r="D72" i="4"/>
  <c r="F72" i="4" s="1"/>
  <c r="I70" i="11"/>
  <c r="I70" i="12"/>
  <c r="I70" i="10"/>
  <c r="I70" i="8"/>
  <c r="I70" i="9"/>
  <c r="I70" i="6"/>
  <c r="I70" i="7"/>
  <c r="I70" i="5"/>
  <c r="I70" i="4"/>
  <c r="I70" i="2"/>
  <c r="I70" i="3"/>
  <c r="I70" i="1"/>
  <c r="D70" i="6"/>
  <c r="D70" i="8"/>
  <c r="D70" i="9"/>
  <c r="F70" i="9" s="1"/>
  <c r="D70" i="7"/>
  <c r="D70" i="10"/>
  <c r="D70" i="3"/>
  <c r="D70" i="11"/>
  <c r="D70" i="4"/>
  <c r="D70" i="12"/>
  <c r="D70" i="2"/>
  <c r="D70" i="5"/>
  <c r="D70" i="1"/>
  <c r="I68" i="12"/>
  <c r="I68" i="10"/>
  <c r="I68" i="11"/>
  <c r="I68" i="9"/>
  <c r="I68" i="7"/>
  <c r="I68" i="6"/>
  <c r="I68" i="3"/>
  <c r="I68" i="8"/>
  <c r="I68" i="5"/>
  <c r="I68" i="4"/>
  <c r="I68" i="2"/>
  <c r="I68" i="1"/>
  <c r="D68" i="10"/>
  <c r="D68" i="6"/>
  <c r="D68" i="7"/>
  <c r="D68" i="5"/>
  <c r="D68" i="8"/>
  <c r="F68" i="8" s="1"/>
  <c r="D68" i="9"/>
  <c r="D68" i="12"/>
  <c r="F68" i="12" s="1"/>
  <c r="D68" i="2"/>
  <c r="D68" i="1"/>
  <c r="D68" i="3"/>
  <c r="F68" i="3" s="1"/>
  <c r="D68" i="11"/>
  <c r="D68" i="4"/>
  <c r="I66" i="11"/>
  <c r="I66" i="12"/>
  <c r="I66" i="10"/>
  <c r="I66" i="8"/>
  <c r="I66" i="6"/>
  <c r="I66" i="7"/>
  <c r="I66" i="5"/>
  <c r="I66" i="4"/>
  <c r="I66" i="9"/>
  <c r="I66" i="3"/>
  <c r="I66" i="2"/>
  <c r="I66" i="1"/>
  <c r="D66" i="8"/>
  <c r="D66" i="10"/>
  <c r="D66" i="6"/>
  <c r="D66" i="7"/>
  <c r="D66" i="9"/>
  <c r="D66" i="3"/>
  <c r="D66" i="11"/>
  <c r="D66" i="4"/>
  <c r="D66" i="5"/>
  <c r="F66" i="5" s="1"/>
  <c r="D66" i="12"/>
  <c r="D66" i="2"/>
  <c r="D66" i="1"/>
  <c r="I64" i="12"/>
  <c r="I64" i="10"/>
  <c r="I64" i="11"/>
  <c r="I64" i="9"/>
  <c r="I64" i="7"/>
  <c r="I64" i="8"/>
  <c r="I64" i="6"/>
  <c r="I64" i="3"/>
  <c r="I64" i="5"/>
  <c r="I64" i="4"/>
  <c r="I64" i="2"/>
  <c r="I64" i="1"/>
  <c r="D64" i="5"/>
  <c r="F64" i="5" s="1"/>
  <c r="D64" i="10"/>
  <c r="D64" i="6"/>
  <c r="D64" i="7"/>
  <c r="D64" i="8"/>
  <c r="D64" i="9"/>
  <c r="D64" i="12"/>
  <c r="D64" i="2"/>
  <c r="D64" i="1"/>
  <c r="D64" i="3"/>
  <c r="F64" i="3" s="1"/>
  <c r="D64" i="11"/>
  <c r="D64" i="4"/>
  <c r="F64" i="4" s="1"/>
  <c r="I62" i="11"/>
  <c r="I62" i="12"/>
  <c r="I62" i="10"/>
  <c r="I62" i="8"/>
  <c r="I62" i="6"/>
  <c r="I62" i="9"/>
  <c r="I62" i="7"/>
  <c r="I62" i="5"/>
  <c r="I62" i="4"/>
  <c r="I62" i="3"/>
  <c r="I62" i="2"/>
  <c r="I62" i="1"/>
  <c r="D62" i="7"/>
  <c r="D62" i="10"/>
  <c r="D62" i="6"/>
  <c r="D62" i="8"/>
  <c r="D62" i="9"/>
  <c r="D62" i="3"/>
  <c r="D62" i="11"/>
  <c r="D62" i="4"/>
  <c r="D62" i="12"/>
  <c r="F62" i="12" s="1"/>
  <c r="D62" i="5"/>
  <c r="F62" i="5" s="1"/>
  <c r="D62" i="2"/>
  <c r="D62" i="1"/>
  <c r="I60" i="12"/>
  <c r="I60" i="10"/>
  <c r="I60" i="11"/>
  <c r="I60" i="9"/>
  <c r="I60" i="7"/>
  <c r="I60" i="6"/>
  <c r="I60" i="8"/>
  <c r="I60" i="5"/>
  <c r="I60" i="3"/>
  <c r="I60" i="4"/>
  <c r="I60" i="2"/>
  <c r="I60" i="1"/>
  <c r="D60" i="6"/>
  <c r="D60" i="7"/>
  <c r="F60" i="7" s="1"/>
  <c r="D60" i="8"/>
  <c r="D60" i="10"/>
  <c r="D60" i="9"/>
  <c r="D60" i="5"/>
  <c r="F60" i="5" s="1"/>
  <c r="D60" i="12"/>
  <c r="F60" i="12" s="1"/>
  <c r="D60" i="2"/>
  <c r="D60" i="1"/>
  <c r="D60" i="3"/>
  <c r="F60" i="3" s="1"/>
  <c r="D60" i="11"/>
  <c r="D60" i="4"/>
  <c r="I58" i="11"/>
  <c r="I58" i="12"/>
  <c r="I58" i="10"/>
  <c r="I58" i="8"/>
  <c r="I58" i="6"/>
  <c r="I58" i="7"/>
  <c r="I58" i="5"/>
  <c r="I58" i="9"/>
  <c r="I58" i="4"/>
  <c r="I58" i="3"/>
  <c r="I58" i="2"/>
  <c r="I58" i="1"/>
  <c r="D58" i="7"/>
  <c r="D58" i="6"/>
  <c r="D58" i="8"/>
  <c r="D58" i="10"/>
  <c r="D58" i="9"/>
  <c r="D58" i="3"/>
  <c r="D58" i="5"/>
  <c r="D58" i="11"/>
  <c r="D58" i="4"/>
  <c r="D58" i="12"/>
  <c r="D58" i="2"/>
  <c r="D58" i="1"/>
  <c r="I56" i="12"/>
  <c r="I56" i="10"/>
  <c r="I56" i="11"/>
  <c r="I56" i="9"/>
  <c r="I56" i="8"/>
  <c r="I56" i="7"/>
  <c r="I56" i="6"/>
  <c r="I56" i="3"/>
  <c r="I56" i="4"/>
  <c r="I56" i="2"/>
  <c r="I56" i="5"/>
  <c r="I56" i="1"/>
  <c r="D56" i="6"/>
  <c r="D56" i="10"/>
  <c r="D56" i="5"/>
  <c r="D56" i="9"/>
  <c r="D56" i="7"/>
  <c r="D56" i="8"/>
  <c r="F56" i="8" s="1"/>
  <c r="D56" i="12"/>
  <c r="F56" i="12" s="1"/>
  <c r="D56" i="2"/>
  <c r="D56" i="1"/>
  <c r="D56" i="3"/>
  <c r="F56" i="3" s="1"/>
  <c r="D56" i="11"/>
  <c r="D56" i="4"/>
  <c r="I54" i="11"/>
  <c r="I54" i="10"/>
  <c r="I54" i="8"/>
  <c r="I54" i="9"/>
  <c r="I54" i="6"/>
  <c r="I54" i="7"/>
  <c r="I54" i="5"/>
  <c r="I54" i="12"/>
  <c r="I54" i="4"/>
  <c r="I54" i="3"/>
  <c r="I54" i="2"/>
  <c r="I54" i="1"/>
  <c r="D54" i="5"/>
  <c r="D54" i="2"/>
  <c r="D54" i="9"/>
  <c r="D54" i="1"/>
  <c r="D54" i="12"/>
  <c r="D54" i="8"/>
  <c r="D54" i="7"/>
  <c r="D54" i="6"/>
  <c r="D54" i="4"/>
  <c r="D54" i="11"/>
  <c r="D54" i="10"/>
  <c r="D54" i="3"/>
  <c r="I52" i="10"/>
  <c r="I52" i="12"/>
  <c r="I52" i="11"/>
  <c r="I52" i="9"/>
  <c r="I52" i="7"/>
  <c r="I52" i="6"/>
  <c r="I52" i="3"/>
  <c r="I52" i="5"/>
  <c r="I52" i="4"/>
  <c r="I52" i="8"/>
  <c r="I52" i="2"/>
  <c r="I52" i="1"/>
  <c r="D52" i="9"/>
  <c r="D52" i="7"/>
  <c r="D52" i="8"/>
  <c r="D52" i="5"/>
  <c r="D52" i="10"/>
  <c r="D52" i="2"/>
  <c r="D52" i="1"/>
  <c r="D52" i="3"/>
  <c r="D52" i="11"/>
  <c r="D52" i="4"/>
  <c r="D52" i="6"/>
  <c r="D52" i="12"/>
  <c r="I50" i="11"/>
  <c r="I50" i="10"/>
  <c r="I50" i="8"/>
  <c r="I50" i="6"/>
  <c r="I50" i="7"/>
  <c r="I50" i="5"/>
  <c r="I50" i="4"/>
  <c r="I50" i="3"/>
  <c r="I50" i="9"/>
  <c r="I50" i="12"/>
  <c r="I50" i="2"/>
  <c r="I50" i="1"/>
  <c r="D50" i="7"/>
  <c r="D50" i="8"/>
  <c r="D50" i="10"/>
  <c r="D50" i="9"/>
  <c r="D50" i="6"/>
  <c r="D50" i="11"/>
  <c r="D50" i="4"/>
  <c r="D50" i="5"/>
  <c r="D50" i="12"/>
  <c r="D50" i="2"/>
  <c r="D50" i="1"/>
  <c r="D50" i="3"/>
  <c r="I48" i="12"/>
  <c r="I48" i="10"/>
  <c r="I48" i="11"/>
  <c r="I48" i="9"/>
  <c r="I48" i="7"/>
  <c r="I48" i="8"/>
  <c r="I48" i="6"/>
  <c r="I48" i="3"/>
  <c r="I48" i="5"/>
  <c r="I48" i="4"/>
  <c r="I48" i="2"/>
  <c r="I48" i="1"/>
  <c r="D48" i="9"/>
  <c r="D48" i="5"/>
  <c r="D48" i="6"/>
  <c r="D48" i="7"/>
  <c r="D48" i="10"/>
  <c r="D48" i="2"/>
  <c r="D48" i="1"/>
  <c r="D48" i="3"/>
  <c r="D48" i="8"/>
  <c r="D48" i="11"/>
  <c r="D48" i="4"/>
  <c r="D48" i="12"/>
  <c r="I46" i="11"/>
  <c r="I46" i="12"/>
  <c r="I46" i="10"/>
  <c r="I46" i="8"/>
  <c r="I46" i="6"/>
  <c r="I46" i="9"/>
  <c r="I46" i="7"/>
  <c r="I46" i="5"/>
  <c r="I46" i="4"/>
  <c r="I46" i="3"/>
  <c r="I46" i="2"/>
  <c r="I46" i="1"/>
  <c r="D46" i="1"/>
  <c r="D46" i="10"/>
  <c r="D46" i="9"/>
  <c r="D46" i="6"/>
  <c r="D46" i="8"/>
  <c r="D46" i="11"/>
  <c r="D46" i="4"/>
  <c r="D46" i="12"/>
  <c r="F46" i="12" s="1"/>
  <c r="D46" i="5"/>
  <c r="D46" i="2"/>
  <c r="D46" i="7"/>
  <c r="D46" i="3"/>
  <c r="D23" i="3"/>
  <c r="F23" i="3" s="1"/>
  <c r="D23" i="7"/>
  <c r="F23" i="7" s="1"/>
  <c r="D23" i="11"/>
  <c r="F23" i="11" s="1"/>
  <c r="D23" i="4"/>
  <c r="F23" i="4" s="1"/>
  <c r="D23" i="8"/>
  <c r="F23" i="8" s="1"/>
  <c r="D23" i="12"/>
  <c r="F23" i="12" s="1"/>
  <c r="D23" i="1"/>
  <c r="F23" i="1" s="1"/>
  <c r="D23" i="5"/>
  <c r="F23" i="5" s="1"/>
  <c r="D23" i="9"/>
  <c r="F23" i="9" s="1"/>
  <c r="D23" i="2"/>
  <c r="F23" i="2" s="1"/>
  <c r="D23" i="6"/>
  <c r="F23" i="6" s="1"/>
  <c r="D23" i="10"/>
  <c r="F23" i="10" s="1"/>
  <c r="D12" i="4"/>
  <c r="F12" i="4" s="1"/>
  <c r="D12" i="8"/>
  <c r="F12" i="8" s="1"/>
  <c r="D12" i="12"/>
  <c r="F12" i="12" s="1"/>
  <c r="D12" i="1"/>
  <c r="F12" i="1" s="1"/>
  <c r="D12" i="5"/>
  <c r="F12" i="5" s="1"/>
  <c r="D12" i="9"/>
  <c r="F12" i="9" s="1"/>
  <c r="D12" i="2"/>
  <c r="F12" i="2" s="1"/>
  <c r="D12" i="6"/>
  <c r="F12" i="6" s="1"/>
  <c r="D12" i="10"/>
  <c r="F12" i="10" s="1"/>
  <c r="D12" i="3"/>
  <c r="F12" i="3" s="1"/>
  <c r="D12" i="7"/>
  <c r="F12" i="7" s="1"/>
  <c r="D12" i="11"/>
  <c r="F12" i="11" s="1"/>
  <c r="D22" i="2"/>
  <c r="F22" i="2" s="1"/>
  <c r="D22" i="6"/>
  <c r="F22" i="6" s="1"/>
  <c r="D22" i="10"/>
  <c r="F22" i="10" s="1"/>
  <c r="D22" i="3"/>
  <c r="F22" i="3" s="1"/>
  <c r="D22" i="7"/>
  <c r="F22" i="7" s="1"/>
  <c r="D22" i="11"/>
  <c r="F22" i="11" s="1"/>
  <c r="D22" i="4"/>
  <c r="F22" i="4" s="1"/>
  <c r="D22" i="8"/>
  <c r="F22" i="8" s="1"/>
  <c r="D22" i="12"/>
  <c r="F22" i="12" s="1"/>
  <c r="D22" i="1"/>
  <c r="F22" i="1" s="1"/>
  <c r="D22" i="5"/>
  <c r="F22" i="5" s="1"/>
  <c r="D22" i="9"/>
  <c r="F22" i="9" s="1"/>
  <c r="D20" i="4"/>
  <c r="F20" i="4" s="1"/>
  <c r="D20" i="8"/>
  <c r="F20" i="8" s="1"/>
  <c r="D20" i="12"/>
  <c r="F20" i="12" s="1"/>
  <c r="D20" i="1"/>
  <c r="F20" i="1" s="1"/>
  <c r="D20" i="5"/>
  <c r="F20" i="5" s="1"/>
  <c r="D20" i="9"/>
  <c r="F20" i="9" s="1"/>
  <c r="D20" i="2"/>
  <c r="F20" i="2" s="1"/>
  <c r="D20" i="6"/>
  <c r="F20" i="6" s="1"/>
  <c r="D20" i="10"/>
  <c r="F20" i="10" s="1"/>
  <c r="D20" i="3"/>
  <c r="F20" i="3" s="1"/>
  <c r="D20" i="7"/>
  <c r="F20" i="7" s="1"/>
  <c r="D20" i="11"/>
  <c r="F20" i="11" s="1"/>
  <c r="D18" i="2"/>
  <c r="F18" i="2" s="1"/>
  <c r="D18" i="6"/>
  <c r="F18" i="6" s="1"/>
  <c r="D18" i="10"/>
  <c r="F18" i="10" s="1"/>
  <c r="D18" i="3"/>
  <c r="F18" i="3" s="1"/>
  <c r="D18" i="7"/>
  <c r="F18" i="7" s="1"/>
  <c r="D18" i="11"/>
  <c r="F18" i="11" s="1"/>
  <c r="D18" i="4"/>
  <c r="F18" i="4" s="1"/>
  <c r="D18" i="8"/>
  <c r="F18" i="8" s="1"/>
  <c r="D18" i="12"/>
  <c r="F18" i="12" s="1"/>
  <c r="D18" i="1"/>
  <c r="F18" i="1" s="1"/>
  <c r="D18" i="5"/>
  <c r="F18" i="5" s="1"/>
  <c r="D18" i="9"/>
  <c r="F18" i="9" s="1"/>
  <c r="D16" i="4"/>
  <c r="F16" i="4" s="1"/>
  <c r="D16" i="8"/>
  <c r="F16" i="8" s="1"/>
  <c r="D16" i="12"/>
  <c r="F16" i="12" s="1"/>
  <c r="D16" i="1"/>
  <c r="F16" i="1" s="1"/>
  <c r="D16" i="5"/>
  <c r="F16" i="5" s="1"/>
  <c r="D16" i="9"/>
  <c r="F16" i="9" s="1"/>
  <c r="D16" i="2"/>
  <c r="F16" i="2" s="1"/>
  <c r="D16" i="6"/>
  <c r="F16" i="6" s="1"/>
  <c r="D16" i="10"/>
  <c r="F16" i="10" s="1"/>
  <c r="D16" i="3"/>
  <c r="F16" i="3" s="1"/>
  <c r="D16" i="7"/>
  <c r="F16" i="7" s="1"/>
  <c r="D16" i="11"/>
  <c r="F16" i="11" s="1"/>
  <c r="D13" i="1"/>
  <c r="F13" i="1" s="1"/>
  <c r="D13" i="5"/>
  <c r="F13" i="5" s="1"/>
  <c r="D13" i="9"/>
  <c r="F13" i="9" s="1"/>
  <c r="D13" i="2"/>
  <c r="F13" i="2" s="1"/>
  <c r="D13" i="6"/>
  <c r="F13" i="6" s="1"/>
  <c r="D13" i="10"/>
  <c r="F13" i="10" s="1"/>
  <c r="D13" i="3"/>
  <c r="F13" i="3" s="1"/>
  <c r="D13" i="7"/>
  <c r="F13" i="7" s="1"/>
  <c r="D13" i="11"/>
  <c r="F13" i="11" s="1"/>
  <c r="D13" i="4"/>
  <c r="F13" i="4" s="1"/>
  <c r="D13" i="8"/>
  <c r="F13" i="8" s="1"/>
  <c r="D13" i="12"/>
  <c r="F13" i="12" s="1"/>
  <c r="D14" i="2"/>
  <c r="F14" i="2" s="1"/>
  <c r="D14" i="6"/>
  <c r="F14" i="6" s="1"/>
  <c r="D14" i="10"/>
  <c r="F14" i="10" s="1"/>
  <c r="D14" i="3"/>
  <c r="F14" i="3" s="1"/>
  <c r="D14" i="7"/>
  <c r="F14" i="7" s="1"/>
  <c r="D14" i="11"/>
  <c r="F14" i="11" s="1"/>
  <c r="D14" i="4"/>
  <c r="F14" i="4" s="1"/>
  <c r="D14" i="8"/>
  <c r="F14" i="8" s="1"/>
  <c r="D14" i="12"/>
  <c r="F14" i="12" s="1"/>
  <c r="D14" i="1"/>
  <c r="F14" i="1" s="1"/>
  <c r="D14" i="5"/>
  <c r="F14" i="5" s="1"/>
  <c r="D14" i="9"/>
  <c r="F14" i="9" s="1"/>
  <c r="D10" i="2"/>
  <c r="F10" i="2" s="1"/>
  <c r="D10" i="6"/>
  <c r="F10" i="6" s="1"/>
  <c r="D10" i="10"/>
  <c r="F10" i="10" s="1"/>
  <c r="D10" i="3"/>
  <c r="F10" i="3" s="1"/>
  <c r="D10" i="7"/>
  <c r="F10" i="7" s="1"/>
  <c r="D10" i="11"/>
  <c r="F10" i="11" s="1"/>
  <c r="D10" i="4"/>
  <c r="F10" i="4" s="1"/>
  <c r="D10" i="8"/>
  <c r="F10" i="8" s="1"/>
  <c r="D10" i="12"/>
  <c r="F10" i="12" s="1"/>
  <c r="D10" i="1"/>
  <c r="F10" i="1" s="1"/>
  <c r="D10" i="5"/>
  <c r="F10" i="5" s="1"/>
  <c r="D10" i="9"/>
  <c r="F10" i="9" s="1"/>
  <c r="D21" i="1"/>
  <c r="F21" i="1" s="1"/>
  <c r="D21" i="5"/>
  <c r="F21" i="5" s="1"/>
  <c r="D21" i="9"/>
  <c r="F21" i="9" s="1"/>
  <c r="D21" i="2"/>
  <c r="F21" i="2" s="1"/>
  <c r="D21" i="6"/>
  <c r="F21" i="6" s="1"/>
  <c r="D21" i="10"/>
  <c r="F21" i="10" s="1"/>
  <c r="D21" i="3"/>
  <c r="F21" i="3" s="1"/>
  <c r="D21" i="7"/>
  <c r="F21" i="7" s="1"/>
  <c r="D21" i="11"/>
  <c r="F21" i="11" s="1"/>
  <c r="D21" i="4"/>
  <c r="F21" i="4" s="1"/>
  <c r="D21" i="8"/>
  <c r="F21" i="8" s="1"/>
  <c r="D21" i="12"/>
  <c r="F21" i="12" s="1"/>
  <c r="D19" i="3"/>
  <c r="F19" i="3" s="1"/>
  <c r="D19" i="7"/>
  <c r="F19" i="7" s="1"/>
  <c r="D19" i="11"/>
  <c r="F19" i="11" s="1"/>
  <c r="D19" i="4"/>
  <c r="F19" i="4" s="1"/>
  <c r="D19" i="8"/>
  <c r="F19" i="8" s="1"/>
  <c r="D19" i="12"/>
  <c r="F19" i="12" s="1"/>
  <c r="D19" i="1"/>
  <c r="F19" i="1" s="1"/>
  <c r="D19" i="5"/>
  <c r="F19" i="5" s="1"/>
  <c r="D19" i="9"/>
  <c r="F19" i="9" s="1"/>
  <c r="D19" i="2"/>
  <c r="F19" i="2" s="1"/>
  <c r="D19" i="6"/>
  <c r="F19" i="6" s="1"/>
  <c r="D19" i="10"/>
  <c r="F19" i="10" s="1"/>
  <c r="D17" i="1"/>
  <c r="F17" i="1" s="1"/>
  <c r="D17" i="5"/>
  <c r="F17" i="5" s="1"/>
  <c r="D17" i="9"/>
  <c r="F17" i="9" s="1"/>
  <c r="D17" i="2"/>
  <c r="F17" i="2" s="1"/>
  <c r="D17" i="6"/>
  <c r="F17" i="6" s="1"/>
  <c r="D17" i="10"/>
  <c r="F17" i="10" s="1"/>
  <c r="D17" i="3"/>
  <c r="F17" i="3" s="1"/>
  <c r="D17" i="7"/>
  <c r="F17" i="7" s="1"/>
  <c r="D17" i="11"/>
  <c r="F17" i="11" s="1"/>
  <c r="D17" i="4"/>
  <c r="F17" i="4" s="1"/>
  <c r="D17" i="8"/>
  <c r="F17" i="8" s="1"/>
  <c r="D17" i="12"/>
  <c r="F17" i="12" s="1"/>
  <c r="D15" i="3"/>
  <c r="F15" i="3" s="1"/>
  <c r="D15" i="7"/>
  <c r="F15" i="7" s="1"/>
  <c r="D15" i="11"/>
  <c r="F15" i="11" s="1"/>
  <c r="D15" i="4"/>
  <c r="F15" i="4" s="1"/>
  <c r="D15" i="8"/>
  <c r="F15" i="8" s="1"/>
  <c r="D15" i="12"/>
  <c r="F15" i="12" s="1"/>
  <c r="D15" i="1"/>
  <c r="F15" i="1" s="1"/>
  <c r="D15" i="5"/>
  <c r="F15" i="5" s="1"/>
  <c r="D15" i="9"/>
  <c r="F15" i="9" s="1"/>
  <c r="D15" i="2"/>
  <c r="F15" i="2" s="1"/>
  <c r="D15" i="6"/>
  <c r="F15" i="6" s="1"/>
  <c r="D15" i="10"/>
  <c r="F15" i="10" s="1"/>
  <c r="D11" i="3"/>
  <c r="F11" i="3" s="1"/>
  <c r="D11" i="7"/>
  <c r="F11" i="7" s="1"/>
  <c r="D11" i="11"/>
  <c r="F11" i="11" s="1"/>
  <c r="D11" i="4"/>
  <c r="F11" i="4" s="1"/>
  <c r="D11" i="8"/>
  <c r="F11" i="8" s="1"/>
  <c r="D11" i="12"/>
  <c r="F11" i="12" s="1"/>
  <c r="D11" i="1"/>
  <c r="F11" i="1" s="1"/>
  <c r="D11" i="5"/>
  <c r="F11" i="5" s="1"/>
  <c r="D11" i="9"/>
  <c r="F11" i="9" s="1"/>
  <c r="D11" i="2"/>
  <c r="F11" i="2" s="1"/>
  <c r="D11" i="6"/>
  <c r="F11" i="6" s="1"/>
  <c r="D11" i="10"/>
  <c r="F11" i="10" s="1"/>
  <c r="D16" i="13"/>
  <c r="D21" i="13"/>
  <c r="D22" i="13"/>
  <c r="D18" i="13"/>
  <c r="D20" i="13"/>
  <c r="D19" i="13"/>
  <c r="D15" i="13"/>
  <c r="D13" i="13"/>
  <c r="D12" i="13"/>
  <c r="D11" i="13"/>
  <c r="D17" i="13"/>
  <c r="D14" i="13"/>
  <c r="D10" i="13"/>
  <c r="D23" i="13"/>
  <c r="C10" i="13"/>
  <c r="F108" i="4" l="1"/>
  <c r="F70" i="2"/>
  <c r="F72" i="6"/>
  <c r="F93" i="6"/>
  <c r="F104" i="3"/>
  <c r="F70" i="12"/>
  <c r="F98" i="6"/>
  <c r="F100" i="6"/>
  <c r="F104" i="6"/>
  <c r="K86" i="9"/>
  <c r="K103" i="8"/>
  <c r="K92" i="12"/>
  <c r="K103" i="2"/>
  <c r="K57" i="5"/>
  <c r="K61" i="5"/>
  <c r="K67" i="5"/>
  <c r="K74" i="2"/>
  <c r="K76" i="8"/>
  <c r="K82" i="2"/>
  <c r="K90" i="2"/>
  <c r="K51" i="6"/>
  <c r="K55" i="3"/>
  <c r="F56" i="4"/>
  <c r="F60" i="4"/>
  <c r="F62" i="1"/>
  <c r="F66" i="1"/>
  <c r="F68" i="4"/>
  <c r="F70" i="1"/>
  <c r="F77" i="12"/>
  <c r="F79" i="10"/>
  <c r="F85" i="12"/>
  <c r="F89" i="12"/>
  <c r="F93" i="12"/>
  <c r="F93" i="10"/>
  <c r="F96" i="10"/>
  <c r="F102" i="12"/>
  <c r="K103" i="1"/>
  <c r="K57" i="11"/>
  <c r="K74" i="1"/>
  <c r="K78" i="1"/>
  <c r="K82" i="1"/>
  <c r="K84" i="12"/>
  <c r="K86" i="1"/>
  <c r="K90" i="1"/>
  <c r="F94" i="1"/>
  <c r="F99" i="1"/>
  <c r="F105" i="4"/>
  <c r="F107" i="1"/>
  <c r="F109" i="10"/>
  <c r="F98" i="10"/>
  <c r="K103" i="3"/>
  <c r="K51" i="11"/>
  <c r="K57" i="9"/>
  <c r="K65" i="9"/>
  <c r="K67" i="9"/>
  <c r="K74" i="3"/>
  <c r="K78" i="10"/>
  <c r="K78" i="3"/>
  <c r="K82" i="3"/>
  <c r="K86" i="3"/>
  <c r="K88" i="12"/>
  <c r="K90" i="10"/>
  <c r="F107" i="10"/>
  <c r="F111" i="7"/>
  <c r="F109" i="5"/>
  <c r="K71" i="11"/>
  <c r="K103" i="6"/>
  <c r="K71" i="2"/>
  <c r="K86" i="4"/>
  <c r="K78" i="4"/>
  <c r="K78" i="11"/>
  <c r="K80" i="12"/>
  <c r="K82" i="11"/>
  <c r="K84" i="4"/>
  <c r="K69" i="3"/>
  <c r="F46" i="3"/>
  <c r="F56" i="2"/>
  <c r="F56" i="9"/>
  <c r="F60" i="2"/>
  <c r="F62" i="8"/>
  <c r="F64" i="2"/>
  <c r="F68" i="2"/>
  <c r="F75" i="12"/>
  <c r="F75" i="11"/>
  <c r="K57" i="12"/>
  <c r="K63" i="12"/>
  <c r="K65" i="12"/>
  <c r="K67" i="12"/>
  <c r="K69" i="11"/>
  <c r="K69" i="12"/>
  <c r="K74" i="11"/>
  <c r="K92" i="5"/>
  <c r="F98" i="1"/>
  <c r="F110" i="1"/>
  <c r="F94" i="5"/>
  <c r="F46" i="6"/>
  <c r="K46" i="1"/>
  <c r="F68" i="5"/>
  <c r="F77" i="1"/>
  <c r="F79" i="3"/>
  <c r="F79" i="12"/>
  <c r="F85" i="1"/>
  <c r="F87" i="3"/>
  <c r="F89" i="1"/>
  <c r="F89" i="5"/>
  <c r="F91" i="3"/>
  <c r="F96" i="5"/>
  <c r="F100" i="3"/>
  <c r="F102" i="1"/>
  <c r="F46" i="7"/>
  <c r="F56" i="5"/>
  <c r="F60" i="8"/>
  <c r="F62" i="2"/>
  <c r="F62" i="11"/>
  <c r="F64" i="6"/>
  <c r="F66" i="2"/>
  <c r="F66" i="6"/>
  <c r="F70" i="5"/>
  <c r="F75" i="3"/>
  <c r="F77" i="6"/>
  <c r="F85" i="6"/>
  <c r="F85" i="5"/>
  <c r="F87" i="12"/>
  <c r="F89" i="6"/>
  <c r="F91" i="6"/>
  <c r="F96" i="3"/>
  <c r="F96" i="12"/>
  <c r="F102" i="6"/>
  <c r="F108" i="3"/>
  <c r="F110" i="12"/>
  <c r="F94" i="2"/>
  <c r="F94" i="6"/>
  <c r="F107" i="2"/>
  <c r="F111" i="2"/>
  <c r="F56" i="1"/>
  <c r="F56" i="7"/>
  <c r="F60" i="1"/>
  <c r="F64" i="1"/>
  <c r="F68" i="1"/>
  <c r="F79" i="7"/>
  <c r="F85" i="7"/>
  <c r="F89" i="7"/>
  <c r="F108" i="8"/>
  <c r="F111" i="4"/>
  <c r="F64" i="7"/>
  <c r="F66" i="7"/>
  <c r="F70" i="7"/>
  <c r="F72" i="1"/>
  <c r="F75" i="9"/>
  <c r="F77" i="7"/>
  <c r="F87" i="7"/>
  <c r="F91" i="7"/>
  <c r="F93" i="2"/>
  <c r="F108" i="5"/>
  <c r="F110" i="6"/>
  <c r="F94" i="7"/>
  <c r="F97" i="7"/>
  <c r="F111" i="8"/>
  <c r="F46" i="9"/>
  <c r="F68" i="7"/>
  <c r="F72" i="7"/>
  <c r="F85" i="2"/>
  <c r="F93" i="7"/>
  <c r="F96" i="7"/>
  <c r="F98" i="2"/>
  <c r="F102" i="2"/>
  <c r="F104" i="7"/>
  <c r="F46" i="8"/>
  <c r="F64" i="8"/>
  <c r="F111" i="9"/>
  <c r="F60" i="10"/>
  <c r="F72" i="8"/>
  <c r="F85" i="8"/>
  <c r="F98" i="8"/>
  <c r="F104" i="5"/>
  <c r="F108" i="7"/>
  <c r="K90" i="12"/>
  <c r="F107" i="8"/>
  <c r="F62" i="6"/>
  <c r="F75" i="10"/>
  <c r="F77" i="8"/>
  <c r="F79" i="1"/>
  <c r="F79" i="6"/>
  <c r="F87" i="1"/>
  <c r="F91" i="1"/>
  <c r="F100" i="1"/>
  <c r="F100" i="8"/>
  <c r="F102" i="8"/>
  <c r="F110" i="7"/>
  <c r="F46" i="2"/>
  <c r="F56" i="10"/>
  <c r="F75" i="1"/>
  <c r="F89" i="8"/>
  <c r="F96" i="1"/>
  <c r="F96" i="6"/>
  <c r="F104" i="8"/>
  <c r="K65" i="2"/>
  <c r="K69" i="2"/>
  <c r="K71" i="9"/>
  <c r="K76" i="10"/>
  <c r="K92" i="10"/>
  <c r="F94" i="8"/>
  <c r="F66" i="8"/>
  <c r="F68" i="10"/>
  <c r="F70" i="6"/>
  <c r="F87" i="6"/>
  <c r="F91" i="8"/>
  <c r="F94" i="4"/>
  <c r="F62" i="4"/>
  <c r="F66" i="4"/>
  <c r="F70" i="4"/>
  <c r="F99" i="4"/>
  <c r="F105" i="3"/>
  <c r="F107" i="4"/>
  <c r="F93" i="8"/>
  <c r="F110" i="2"/>
  <c r="K103" i="9"/>
  <c r="K92" i="4"/>
  <c r="K90" i="3"/>
  <c r="K73" i="2"/>
  <c r="K73" i="1"/>
  <c r="F95" i="2"/>
  <c r="J73" i="8"/>
  <c r="K73" i="8" s="1"/>
  <c r="F73" i="8"/>
  <c r="J73" i="11"/>
  <c r="K73" i="11" s="1"/>
  <c r="F73" i="11"/>
  <c r="J73" i="9"/>
  <c r="K73" i="9" s="1"/>
  <c r="F73" i="9"/>
  <c r="J95" i="9"/>
  <c r="K95" i="9" s="1"/>
  <c r="F95" i="9"/>
  <c r="J95" i="10"/>
  <c r="K95" i="10" s="1"/>
  <c r="F95" i="10"/>
  <c r="K95" i="1"/>
  <c r="J73" i="4"/>
  <c r="K73" i="4" s="1"/>
  <c r="F73" i="4"/>
  <c r="J73" i="10"/>
  <c r="K73" i="10" s="1"/>
  <c r="F73" i="10"/>
  <c r="J73" i="5"/>
  <c r="K73" i="5" s="1"/>
  <c r="F73" i="5"/>
  <c r="J95" i="6"/>
  <c r="K95" i="6" s="1"/>
  <c r="F95" i="6"/>
  <c r="J95" i="3"/>
  <c r="K95" i="3" s="1"/>
  <c r="F95" i="3"/>
  <c r="J73" i="7"/>
  <c r="K73" i="7" s="1"/>
  <c r="F73" i="7"/>
  <c r="J73" i="6"/>
  <c r="K73" i="6" s="1"/>
  <c r="F73" i="6"/>
  <c r="J95" i="11"/>
  <c r="K95" i="11" s="1"/>
  <c r="F95" i="11"/>
  <c r="J95" i="5"/>
  <c r="K95" i="5" s="1"/>
  <c r="F95" i="5"/>
  <c r="J95" i="8"/>
  <c r="K95" i="8" s="1"/>
  <c r="F95" i="8"/>
  <c r="J73" i="3"/>
  <c r="K73" i="3" s="1"/>
  <c r="F73" i="3"/>
  <c r="J73" i="12"/>
  <c r="K73" i="12" s="1"/>
  <c r="F73" i="12"/>
  <c r="J95" i="4"/>
  <c r="K95" i="4" s="1"/>
  <c r="F95" i="4"/>
  <c r="J95" i="7"/>
  <c r="K95" i="7" s="1"/>
  <c r="F95" i="7"/>
  <c r="J95" i="12"/>
  <c r="K95" i="12" s="1"/>
  <c r="F95" i="12"/>
  <c r="K76" i="12"/>
  <c r="K63" i="11"/>
  <c r="F99" i="8"/>
  <c r="K76" i="7"/>
  <c r="K80" i="7"/>
  <c r="K84" i="7"/>
  <c r="K92" i="7"/>
  <c r="K74" i="6"/>
  <c r="K82" i="6"/>
  <c r="F100" i="9"/>
  <c r="F100" i="10"/>
  <c r="F102" i="9"/>
  <c r="F104" i="9"/>
  <c r="F108" i="9"/>
  <c r="K103" i="12"/>
  <c r="K59" i="4"/>
  <c r="K61" i="11"/>
  <c r="K61" i="3"/>
  <c r="K65" i="3"/>
  <c r="K71" i="10"/>
  <c r="K74" i="10"/>
  <c r="K76" i="11"/>
  <c r="K76" i="6"/>
  <c r="K80" i="11"/>
  <c r="K82" i="10"/>
  <c r="K84" i="11"/>
  <c r="K86" i="10"/>
  <c r="K88" i="11"/>
  <c r="K92" i="11"/>
  <c r="K92" i="6"/>
  <c r="F106" i="3"/>
  <c r="F105" i="9"/>
  <c r="F106" i="10"/>
  <c r="F73" i="2"/>
  <c r="F73" i="1"/>
  <c r="K78" i="7"/>
  <c r="K80" i="8"/>
  <c r="K84" i="8"/>
  <c r="K86" i="7"/>
  <c r="K95" i="2"/>
  <c r="K103" i="5"/>
  <c r="K57" i="6"/>
  <c r="K59" i="3"/>
  <c r="K63" i="7"/>
  <c r="K69" i="6"/>
  <c r="K71" i="4"/>
  <c r="K74" i="5"/>
  <c r="K82" i="5"/>
  <c r="K84" i="6"/>
  <c r="K88" i="5"/>
  <c r="K90" i="5"/>
  <c r="F95" i="1"/>
  <c r="K51" i="4"/>
  <c r="K51" i="5"/>
  <c r="K53" i="11"/>
  <c r="K55" i="4"/>
  <c r="K55" i="11"/>
  <c r="K59" i="10"/>
  <c r="K59" i="9"/>
  <c r="F99" i="7"/>
  <c r="F109" i="6"/>
  <c r="F105" i="2"/>
  <c r="F105" i="7"/>
  <c r="F106" i="9"/>
  <c r="F109" i="7"/>
  <c r="K47" i="3"/>
  <c r="K103" i="10"/>
  <c r="K103" i="4"/>
  <c r="K47" i="6"/>
  <c r="K47" i="9"/>
  <c r="K47" i="1"/>
  <c r="K49" i="7"/>
  <c r="K49" i="8"/>
  <c r="K49" i="2"/>
  <c r="K51" i="8"/>
  <c r="K51" i="9"/>
  <c r="K51" i="1"/>
  <c r="K53" i="7"/>
  <c r="K53" i="2"/>
  <c r="K55" i="8"/>
  <c r="K55" i="9"/>
  <c r="K57" i="7"/>
  <c r="K57" i="2"/>
  <c r="K59" i="8"/>
  <c r="K59" i="7"/>
  <c r="K59" i="1"/>
  <c r="K61" i="7"/>
  <c r="K61" i="8"/>
  <c r="K61" i="2"/>
  <c r="K63" i="6"/>
  <c r="K63" i="1"/>
  <c r="K65" i="7"/>
  <c r="K65" i="8"/>
  <c r="K67" i="8"/>
  <c r="K67" i="7"/>
  <c r="K67" i="1"/>
  <c r="K69" i="7"/>
  <c r="K69" i="8"/>
  <c r="K71" i="6"/>
  <c r="K71" i="1"/>
  <c r="K74" i="4"/>
  <c r="K76" i="1"/>
  <c r="K78" i="8"/>
  <c r="K80" i="1"/>
  <c r="K82" i="4"/>
  <c r="K84" i="1"/>
  <c r="K88" i="1"/>
  <c r="K90" i="8"/>
  <c r="K90" i="4"/>
  <c r="K92" i="1"/>
  <c r="K47" i="5"/>
  <c r="K49" i="3"/>
  <c r="K53" i="12"/>
  <c r="K55" i="12"/>
  <c r="K53" i="10"/>
  <c r="K53" i="4"/>
  <c r="F77" i="4"/>
  <c r="F79" i="8"/>
  <c r="F79" i="9"/>
  <c r="F85" i="4"/>
  <c r="F85" i="9"/>
  <c r="F87" i="9"/>
  <c r="F91" i="2"/>
  <c r="F91" i="9"/>
  <c r="F93" i="9"/>
  <c r="F98" i="4"/>
  <c r="F98" i="9"/>
  <c r="F100" i="2"/>
  <c r="F102" i="4"/>
  <c r="F102" i="10"/>
  <c r="F108" i="1"/>
  <c r="F110" i="4"/>
  <c r="F110" i="9"/>
  <c r="F107" i="11"/>
  <c r="F111" i="11"/>
  <c r="F75" i="2"/>
  <c r="F77" i="9"/>
  <c r="F77" i="10"/>
  <c r="F79" i="2"/>
  <c r="F85" i="10"/>
  <c r="F87" i="2"/>
  <c r="F87" i="8"/>
  <c r="F89" i="10"/>
  <c r="F91" i="10"/>
  <c r="F96" i="9"/>
  <c r="F96" i="8"/>
  <c r="F104" i="1"/>
  <c r="F104" i="10"/>
  <c r="F108" i="10"/>
  <c r="F110" i="8"/>
  <c r="F94" i="10"/>
  <c r="F94" i="9"/>
  <c r="F46" i="11"/>
  <c r="F64" i="9"/>
  <c r="F66" i="3"/>
  <c r="F70" i="3"/>
  <c r="F72" i="10"/>
  <c r="F46" i="10"/>
  <c r="F62" i="3"/>
  <c r="F64" i="10"/>
  <c r="F66" i="10"/>
  <c r="F68" i="9"/>
  <c r="F70" i="8"/>
  <c r="F60" i="9"/>
  <c r="F62" i="7"/>
  <c r="F66" i="9"/>
  <c r="F72" i="9"/>
  <c r="F97" i="2"/>
  <c r="F97" i="10"/>
  <c r="F97" i="8"/>
  <c r="F99" i="10"/>
  <c r="F99" i="9"/>
  <c r="F106" i="8"/>
  <c r="F105" i="10"/>
  <c r="F106" i="11"/>
  <c r="F109" i="2"/>
  <c r="F109" i="8"/>
  <c r="F56" i="11"/>
  <c r="F64" i="12"/>
  <c r="F66" i="11"/>
  <c r="F68" i="11"/>
  <c r="F100" i="12"/>
  <c r="F104" i="12"/>
  <c r="F104" i="11"/>
  <c r="F108" i="12"/>
  <c r="F108" i="11"/>
  <c r="F97" i="3"/>
  <c r="F97" i="5"/>
  <c r="F97" i="6"/>
  <c r="F99" i="2"/>
  <c r="F106" i="6"/>
  <c r="F109" i="3"/>
  <c r="F109" i="12"/>
  <c r="F46" i="4"/>
  <c r="F60" i="11"/>
  <c r="F64" i="11"/>
  <c r="F70" i="11"/>
  <c r="F72" i="11"/>
  <c r="F75" i="5"/>
  <c r="F77" i="11"/>
  <c r="F79" i="4"/>
  <c r="F87" i="10"/>
  <c r="F91" i="4"/>
  <c r="F98" i="12"/>
  <c r="F62" i="10"/>
  <c r="F66" i="12"/>
  <c r="F68" i="6"/>
  <c r="F72" i="12"/>
  <c r="F75" i="4"/>
  <c r="F75" i="6"/>
  <c r="F85" i="11"/>
  <c r="F87" i="4"/>
  <c r="F89" i="11"/>
  <c r="F91" i="11"/>
  <c r="F93" i="3"/>
  <c r="F96" i="4"/>
  <c r="F100" i="4"/>
  <c r="F110" i="11"/>
  <c r="F97" i="9"/>
  <c r="F99" i="5"/>
  <c r="F99" i="6"/>
  <c r="F105" i="6"/>
  <c r="F106" i="1"/>
  <c r="F46" i="5"/>
  <c r="F56" i="6"/>
  <c r="F60" i="6"/>
  <c r="F62" i="9"/>
  <c r="F70" i="10"/>
  <c r="F77" i="3"/>
  <c r="F79" i="11"/>
  <c r="F85" i="3"/>
  <c r="F89" i="3"/>
  <c r="F93" i="11"/>
  <c r="F96" i="11"/>
  <c r="F98" i="3"/>
  <c r="F100" i="11"/>
  <c r="F102" i="3"/>
  <c r="F102" i="11"/>
  <c r="F108" i="2"/>
  <c r="F110" i="3"/>
  <c r="K88" i="10"/>
  <c r="K47" i="10"/>
  <c r="K47" i="4"/>
  <c r="K49" i="12"/>
  <c r="K51" i="12"/>
  <c r="K53" i="3"/>
  <c r="K55" i="5"/>
  <c r="K57" i="3"/>
  <c r="K59" i="11"/>
  <c r="K61" i="12"/>
  <c r="K63" i="10"/>
  <c r="K67" i="11"/>
  <c r="K67" i="4"/>
  <c r="K71" i="12"/>
  <c r="K76" i="4"/>
  <c r="K78" i="12"/>
  <c r="K80" i="4"/>
  <c r="K88" i="4"/>
  <c r="K49" i="9"/>
  <c r="K51" i="10"/>
  <c r="K53" i="9"/>
  <c r="K55" i="10"/>
  <c r="K55" i="2"/>
  <c r="K57" i="10"/>
  <c r="K57" i="4"/>
  <c r="K59" i="2"/>
  <c r="K61" i="9"/>
  <c r="K61" i="4"/>
  <c r="K63" i="2"/>
  <c r="K65" i="10"/>
  <c r="K69" i="9"/>
  <c r="K69" i="10"/>
  <c r="K74" i="8"/>
  <c r="K74" i="9"/>
  <c r="K76" i="9"/>
  <c r="K78" i="9"/>
  <c r="K80" i="9"/>
  <c r="K80" i="10"/>
  <c r="K82" i="8"/>
  <c r="K82" i="9"/>
  <c r="K84" i="9"/>
  <c r="K84" i="10"/>
  <c r="K84" i="2"/>
  <c r="K86" i="8"/>
  <c r="K88" i="9"/>
  <c r="K92" i="9"/>
  <c r="F106" i="12"/>
  <c r="F94" i="12"/>
  <c r="F94" i="11"/>
  <c r="F97" i="11"/>
  <c r="F99" i="11"/>
  <c r="F105" i="5"/>
  <c r="F106" i="5"/>
  <c r="F106" i="7"/>
  <c r="F107" i="5"/>
  <c r="F109" i="9"/>
  <c r="F109" i="11"/>
  <c r="F111" i="12"/>
  <c r="C25" i="1"/>
  <c r="K47" i="12"/>
  <c r="K47" i="7"/>
  <c r="K49" i="6"/>
  <c r="K49" i="1"/>
  <c r="K51" i="7"/>
  <c r="K51" i="3"/>
  <c r="K53" i="5"/>
  <c r="K53" i="1"/>
  <c r="K55" i="6"/>
  <c r="K55" i="7"/>
  <c r="K57" i="1"/>
  <c r="K59" i="6"/>
  <c r="K59" i="5"/>
  <c r="K61" i="6"/>
  <c r="K61" i="1"/>
  <c r="K63" i="3"/>
  <c r="K65" i="6"/>
  <c r="K65" i="1"/>
  <c r="K67" i="6"/>
  <c r="K67" i="3"/>
  <c r="K69" i="5"/>
  <c r="K69" i="1"/>
  <c r="K71" i="3"/>
  <c r="K74" i="12"/>
  <c r="K76" i="5"/>
  <c r="K76" i="3"/>
  <c r="K78" i="5"/>
  <c r="K78" i="2"/>
  <c r="K80" i="5"/>
  <c r="K80" i="6"/>
  <c r="K82" i="12"/>
  <c r="K84" i="5"/>
  <c r="K84" i="3"/>
  <c r="K86" i="12"/>
  <c r="K86" i="5"/>
  <c r="K86" i="2"/>
  <c r="K92" i="8"/>
  <c r="F99" i="12"/>
  <c r="F106" i="2"/>
  <c r="F105" i="11"/>
  <c r="F107" i="12"/>
  <c r="K47" i="8"/>
  <c r="K47" i="11"/>
  <c r="K49" i="10"/>
  <c r="K51" i="2"/>
  <c r="F46" i="1"/>
  <c r="C28" i="5"/>
  <c r="F48" i="5"/>
  <c r="F48" i="9"/>
  <c r="C28" i="9"/>
  <c r="F50" i="7"/>
  <c r="C26" i="7"/>
  <c r="F52" i="10"/>
  <c r="C30" i="10"/>
  <c r="F58" i="9"/>
  <c r="C29" i="9"/>
  <c r="C28" i="12"/>
  <c r="F48" i="12"/>
  <c r="C28" i="3"/>
  <c r="F48" i="3"/>
  <c r="F48" i="7"/>
  <c r="C28" i="7"/>
  <c r="C26" i="3"/>
  <c r="F50" i="3"/>
  <c r="C26" i="5"/>
  <c r="F50" i="5"/>
  <c r="F50" i="9"/>
  <c r="C26" i="9"/>
  <c r="F52" i="12"/>
  <c r="C30" i="12"/>
  <c r="C30" i="3"/>
  <c r="F52" i="3"/>
  <c r="F52" i="5"/>
  <c r="C30" i="5"/>
  <c r="C29" i="1"/>
  <c r="F58" i="1"/>
  <c r="F58" i="11"/>
  <c r="C29" i="11"/>
  <c r="F58" i="10"/>
  <c r="C29" i="10"/>
  <c r="F81" i="12"/>
  <c r="C33" i="12"/>
  <c r="C33" i="1"/>
  <c r="F81" i="1"/>
  <c r="F81" i="7"/>
  <c r="C33" i="7"/>
  <c r="F83" i="3"/>
  <c r="C35" i="3"/>
  <c r="C35" i="5"/>
  <c r="F83" i="5"/>
  <c r="F83" i="11"/>
  <c r="C35" i="11"/>
  <c r="C25" i="4"/>
  <c r="F47" i="4"/>
  <c r="F47" i="2"/>
  <c r="C25" i="2"/>
  <c r="F47" i="6"/>
  <c r="C25" i="6"/>
  <c r="F49" i="1"/>
  <c r="F49" i="11"/>
  <c r="F49" i="8"/>
  <c r="F51" i="5"/>
  <c r="C31" i="5"/>
  <c r="C31" i="1"/>
  <c r="F51" i="1"/>
  <c r="F51" i="7"/>
  <c r="C31" i="7"/>
  <c r="F53" i="1"/>
  <c r="F53" i="4"/>
  <c r="F53" i="10"/>
  <c r="F55" i="3"/>
  <c r="F55" i="12"/>
  <c r="F55" i="10"/>
  <c r="F57" i="12"/>
  <c r="F57" i="1"/>
  <c r="F57" i="6"/>
  <c r="C28" i="11"/>
  <c r="F48" i="11"/>
  <c r="C28" i="10"/>
  <c r="F48" i="10"/>
  <c r="C26" i="6"/>
  <c r="F50" i="6"/>
  <c r="C30" i="11"/>
  <c r="F52" i="11"/>
  <c r="F58" i="4"/>
  <c r="C29" i="4"/>
  <c r="F48" i="4"/>
  <c r="C28" i="4"/>
  <c r="C28" i="1"/>
  <c r="F48" i="1"/>
  <c r="C28" i="6"/>
  <c r="F48" i="6"/>
  <c r="C26" i="1"/>
  <c r="F50" i="1"/>
  <c r="C26" i="4"/>
  <c r="F50" i="4"/>
  <c r="C26" i="10"/>
  <c r="F50" i="10"/>
  <c r="F52" i="6"/>
  <c r="C30" i="6"/>
  <c r="F52" i="1"/>
  <c r="C30" i="1"/>
  <c r="F52" i="8"/>
  <c r="C30" i="8"/>
  <c r="F58" i="2"/>
  <c r="C29" i="2"/>
  <c r="F58" i="5"/>
  <c r="C29" i="5"/>
  <c r="F58" i="8"/>
  <c r="C29" i="8"/>
  <c r="F81" i="4"/>
  <c r="C33" i="4"/>
  <c r="C33" i="2"/>
  <c r="F81" i="2"/>
  <c r="C33" i="8"/>
  <c r="F81" i="8"/>
  <c r="C35" i="1"/>
  <c r="F83" i="1"/>
  <c r="F83" i="4"/>
  <c r="C35" i="4"/>
  <c r="F83" i="10"/>
  <c r="C35" i="10"/>
  <c r="C25" i="11"/>
  <c r="F47" i="11"/>
  <c r="F47" i="12"/>
  <c r="C25" i="12"/>
  <c r="C25" i="5"/>
  <c r="F47" i="5"/>
  <c r="F49" i="2"/>
  <c r="F49" i="3"/>
  <c r="F49" i="7"/>
  <c r="F51" i="4"/>
  <c r="C31" i="4"/>
  <c r="F51" i="2"/>
  <c r="C31" i="2"/>
  <c r="F51" i="6"/>
  <c r="C31" i="6"/>
  <c r="F53" i="2"/>
  <c r="F53" i="11"/>
  <c r="F53" i="5"/>
  <c r="F55" i="4"/>
  <c r="F55" i="6"/>
  <c r="F57" i="4"/>
  <c r="F57" i="8"/>
  <c r="F57" i="7"/>
  <c r="F59" i="3"/>
  <c r="C27" i="3"/>
  <c r="F59" i="12"/>
  <c r="C27" i="12"/>
  <c r="F59" i="10"/>
  <c r="C27" i="10"/>
  <c r="F48" i="2"/>
  <c r="C28" i="2"/>
  <c r="C26" i="2"/>
  <c r="F50" i="2"/>
  <c r="F50" i="11"/>
  <c r="C26" i="11"/>
  <c r="C26" i="8"/>
  <c r="F50" i="8"/>
  <c r="F52" i="4"/>
  <c r="C30" i="4"/>
  <c r="F52" i="2"/>
  <c r="C30" i="2"/>
  <c r="F52" i="7"/>
  <c r="C30" i="7"/>
  <c r="C29" i="12"/>
  <c r="F58" i="12"/>
  <c r="C29" i="3"/>
  <c r="F58" i="3"/>
  <c r="F58" i="6"/>
  <c r="C29" i="6"/>
  <c r="F81" i="11"/>
  <c r="C33" i="11"/>
  <c r="C33" i="5"/>
  <c r="F81" i="5"/>
  <c r="F81" i="6"/>
  <c r="C33" i="6"/>
  <c r="F83" i="2"/>
  <c r="C35" i="2"/>
  <c r="F83" i="8"/>
  <c r="C35" i="8"/>
  <c r="C35" i="9"/>
  <c r="F83" i="9"/>
  <c r="J55" i="1"/>
  <c r="K55" i="1" s="1"/>
  <c r="F55" i="1"/>
  <c r="F47" i="3"/>
  <c r="C25" i="3"/>
  <c r="C25" i="7"/>
  <c r="F47" i="7"/>
  <c r="F47" i="9"/>
  <c r="C25" i="9"/>
  <c r="F49" i="12"/>
  <c r="F49" i="9"/>
  <c r="F49" i="6"/>
  <c r="F51" i="11"/>
  <c r="C31" i="11"/>
  <c r="C31" i="12"/>
  <c r="F51" i="12"/>
  <c r="C31" i="9"/>
  <c r="F51" i="9"/>
  <c r="F53" i="12"/>
  <c r="F53" i="3"/>
  <c r="F53" i="8"/>
  <c r="F55" i="2"/>
  <c r="F55" i="11"/>
  <c r="F55" i="8"/>
  <c r="F57" i="11"/>
  <c r="F57" i="2"/>
  <c r="F57" i="9"/>
  <c r="F59" i="1"/>
  <c r="C27" i="1"/>
  <c r="F59" i="4"/>
  <c r="C27" i="4"/>
  <c r="F59" i="8"/>
  <c r="C27" i="8"/>
  <c r="F61" i="4"/>
  <c r="F61" i="6"/>
  <c r="F61" i="5"/>
  <c r="F63" i="2"/>
  <c r="F63" i="11"/>
  <c r="F63" i="10"/>
  <c r="F65" i="4"/>
  <c r="F65" i="2"/>
  <c r="F65" i="7"/>
  <c r="C28" i="8"/>
  <c r="F48" i="8"/>
  <c r="F50" i="12"/>
  <c r="C26" i="12"/>
  <c r="F52" i="9"/>
  <c r="C30" i="9"/>
  <c r="C29" i="7"/>
  <c r="F58" i="7"/>
  <c r="C33" i="3"/>
  <c r="F81" i="3"/>
  <c r="C33" i="9"/>
  <c r="F81" i="9"/>
  <c r="F81" i="10"/>
  <c r="C33" i="10"/>
  <c r="F83" i="12"/>
  <c r="C35" i="12"/>
  <c r="F83" i="6"/>
  <c r="C35" i="6"/>
  <c r="F83" i="7"/>
  <c r="C35" i="7"/>
  <c r="J53" i="6"/>
  <c r="K53" i="6" s="1"/>
  <c r="F53" i="6"/>
  <c r="F47" i="1"/>
  <c r="F47" i="8"/>
  <c r="C25" i="8"/>
  <c r="F47" i="10"/>
  <c r="C25" i="10"/>
  <c r="F49" i="4"/>
  <c r="F49" i="10"/>
  <c r="F49" i="5"/>
  <c r="C31" i="3"/>
  <c r="F51" i="3"/>
  <c r="C31" i="8"/>
  <c r="F51" i="8"/>
  <c r="F51" i="10"/>
  <c r="C31" i="10"/>
  <c r="F53" i="9"/>
  <c r="F53" i="7"/>
  <c r="F55" i="5"/>
  <c r="F55" i="9"/>
  <c r="F55" i="7"/>
  <c r="F57" i="3"/>
  <c r="F57" i="10"/>
  <c r="F57" i="5"/>
  <c r="F59" i="2"/>
  <c r="C27" i="2"/>
  <c r="C27" i="11"/>
  <c r="F59" i="11"/>
  <c r="F59" i="6"/>
  <c r="C27" i="6"/>
  <c r="F61" i="11"/>
  <c r="F61" i="2"/>
  <c r="F61" i="9"/>
  <c r="F63" i="12"/>
  <c r="F63" i="9"/>
  <c r="F63" i="5"/>
  <c r="F65" i="11"/>
  <c r="F65" i="10"/>
  <c r="F65" i="6"/>
  <c r="C27" i="5"/>
  <c r="F59" i="5"/>
  <c r="C27" i="7"/>
  <c r="F59" i="7"/>
  <c r="F59" i="9"/>
  <c r="C27" i="9"/>
  <c r="F61" i="8"/>
  <c r="F61" i="3"/>
  <c r="F61" i="10"/>
  <c r="F63" i="3"/>
  <c r="F63" i="7"/>
  <c r="F63" i="8"/>
  <c r="F65" i="12"/>
  <c r="F65" i="3"/>
  <c r="F65" i="5"/>
  <c r="F67" i="3"/>
  <c r="F67" i="5"/>
  <c r="F67" i="8"/>
  <c r="F69" i="6"/>
  <c r="F69" i="11"/>
  <c r="F69" i="9"/>
  <c r="F71" i="7"/>
  <c r="F71" i="2"/>
  <c r="F71" i="9"/>
  <c r="F74" i="1"/>
  <c r="F74" i="5"/>
  <c r="F74" i="10"/>
  <c r="F76" i="4"/>
  <c r="F76" i="12"/>
  <c r="F76" i="8"/>
  <c r="F78" i="1"/>
  <c r="F78" i="4"/>
  <c r="F78" i="6"/>
  <c r="F80" i="6"/>
  <c r="C32" i="6"/>
  <c r="C32" i="2"/>
  <c r="F80" i="2"/>
  <c r="C32" i="8"/>
  <c r="F80" i="8"/>
  <c r="F82" i="1"/>
  <c r="F82" i="4"/>
  <c r="F82" i="9"/>
  <c r="F84" i="4"/>
  <c r="F84" i="12"/>
  <c r="F84" i="6"/>
  <c r="F86" i="1"/>
  <c r="F86" i="4"/>
  <c r="F86" i="9"/>
  <c r="F88" i="4"/>
  <c r="F88" i="2"/>
  <c r="F88" i="11"/>
  <c r="F90" i="1"/>
  <c r="F90" i="7"/>
  <c r="F90" i="6"/>
  <c r="F92" i="4"/>
  <c r="F92" i="8"/>
  <c r="F92" i="10"/>
  <c r="F101" i="6"/>
  <c r="C34" i="6"/>
  <c r="F101" i="10"/>
  <c r="C34" i="10"/>
  <c r="F101" i="9"/>
  <c r="C34" i="9"/>
  <c r="F103" i="1"/>
  <c r="F103" i="5"/>
  <c r="F103" i="8"/>
  <c r="K97" i="11"/>
  <c r="K97" i="12"/>
  <c r="K97" i="4"/>
  <c r="K99" i="12"/>
  <c r="K99" i="11"/>
  <c r="K99" i="1"/>
  <c r="K105" i="11"/>
  <c r="K105" i="4"/>
  <c r="K105" i="12"/>
  <c r="K106" i="12"/>
  <c r="K105" i="5"/>
  <c r="K106" i="2"/>
  <c r="K109" i="11"/>
  <c r="K109" i="10"/>
  <c r="K109" i="4"/>
  <c r="K46" i="12"/>
  <c r="K46" i="4"/>
  <c r="K46" i="5"/>
  <c r="K48" i="11"/>
  <c r="K48" i="12"/>
  <c r="K48" i="4"/>
  <c r="K50" i="10"/>
  <c r="K50" i="11"/>
  <c r="K50" i="12"/>
  <c r="K52" i="11"/>
  <c r="K52" i="12"/>
  <c r="K52" i="4"/>
  <c r="J54" i="10"/>
  <c r="K54" i="10" s="1"/>
  <c r="F54" i="10"/>
  <c r="D24" i="10"/>
  <c r="J54" i="11"/>
  <c r="K54" i="11" s="1"/>
  <c r="F54" i="11"/>
  <c r="D24" i="11"/>
  <c r="J54" i="4"/>
  <c r="K54" i="4" s="1"/>
  <c r="F54" i="4"/>
  <c r="D24" i="4"/>
  <c r="K56" i="11"/>
  <c r="K56" i="4"/>
  <c r="K56" i="6"/>
  <c r="K58" i="10"/>
  <c r="K58" i="11"/>
  <c r="K58" i="4"/>
  <c r="K60" i="11"/>
  <c r="K60" i="4"/>
  <c r="K60" i="6"/>
  <c r="K62" i="10"/>
  <c r="K62" i="9"/>
  <c r="K62" i="1"/>
  <c r="K64" i="11"/>
  <c r="K64" i="12"/>
  <c r="K64" i="4"/>
  <c r="K66" i="12"/>
  <c r="K66" i="11"/>
  <c r="K66" i="1"/>
  <c r="K68" i="11"/>
  <c r="K68" i="4"/>
  <c r="K68" i="6"/>
  <c r="K70" i="10"/>
  <c r="K70" i="11"/>
  <c r="K70" i="1"/>
  <c r="K72" i="11"/>
  <c r="K72" i="12"/>
  <c r="K72" i="4"/>
  <c r="K75" i="4"/>
  <c r="K75" i="6"/>
  <c r="K75" i="5"/>
  <c r="K77" i="11"/>
  <c r="K77" i="12"/>
  <c r="K77" i="3"/>
  <c r="K79" i="10"/>
  <c r="K79" i="11"/>
  <c r="K79" i="4"/>
  <c r="K81" i="11"/>
  <c r="K81" i="12"/>
  <c r="K81" i="3"/>
  <c r="K83" i="12"/>
  <c r="K83" i="11"/>
  <c r="K83" i="4"/>
  <c r="K85" i="11"/>
  <c r="K85" i="12"/>
  <c r="K85" i="3"/>
  <c r="K87" i="10"/>
  <c r="K87" i="11"/>
  <c r="K87" i="4"/>
  <c r="K89" i="11"/>
  <c r="K89" i="12"/>
  <c r="K89" i="3"/>
  <c r="K91" i="12"/>
  <c r="K91" i="11"/>
  <c r="K91" i="4"/>
  <c r="K93" i="11"/>
  <c r="K93" i="12"/>
  <c r="K93" i="3"/>
  <c r="K96" i="10"/>
  <c r="K96" i="11"/>
  <c r="K96" i="4"/>
  <c r="K98" i="11"/>
  <c r="K98" i="12"/>
  <c r="K98" i="3"/>
  <c r="K100" i="12"/>
  <c r="K100" i="11"/>
  <c r="K100" i="4"/>
  <c r="K102" i="11"/>
  <c r="K102" i="12"/>
  <c r="K102" i="3"/>
  <c r="K104" i="12"/>
  <c r="K104" i="11"/>
  <c r="K104" i="2"/>
  <c r="K108" i="12"/>
  <c r="K108" i="11"/>
  <c r="K108" i="2"/>
  <c r="K110" i="11"/>
  <c r="K110" i="10"/>
  <c r="K110" i="3"/>
  <c r="J112" i="12"/>
  <c r="K112" i="12" s="1"/>
  <c r="F112" i="12"/>
  <c r="J112" i="11"/>
  <c r="K112" i="11" s="1"/>
  <c r="F112" i="11"/>
  <c r="J112" i="2"/>
  <c r="K112" i="2" s="1"/>
  <c r="F112" i="2"/>
  <c r="K94" i="12"/>
  <c r="K94" i="11"/>
  <c r="K94" i="1"/>
  <c r="K101" i="11"/>
  <c r="K101" i="12"/>
  <c r="K101" i="4"/>
  <c r="K107" i="12"/>
  <c r="K107" i="5"/>
  <c r="K107" i="1"/>
  <c r="K111" i="12"/>
  <c r="K111" i="5"/>
  <c r="K111" i="1"/>
  <c r="F61" i="12"/>
  <c r="F61" i="1"/>
  <c r="F61" i="7"/>
  <c r="F63" i="1"/>
  <c r="F63" i="4"/>
  <c r="F63" i="6"/>
  <c r="F65" i="8"/>
  <c r="F65" i="1"/>
  <c r="F65" i="9"/>
  <c r="F67" i="1"/>
  <c r="F67" i="9"/>
  <c r="F67" i="7"/>
  <c r="F69" i="12"/>
  <c r="F69" i="3"/>
  <c r="F69" i="8"/>
  <c r="F71" i="3"/>
  <c r="F71" i="12"/>
  <c r="F71" i="8"/>
  <c r="F74" i="2"/>
  <c r="F74" i="4"/>
  <c r="F74" i="6"/>
  <c r="F76" i="3"/>
  <c r="F76" i="11"/>
  <c r="F76" i="5"/>
  <c r="F78" i="5"/>
  <c r="F78" i="3"/>
  <c r="F78" i="9"/>
  <c r="F80" i="4"/>
  <c r="C32" i="4"/>
  <c r="F80" i="12"/>
  <c r="C32" i="12"/>
  <c r="F80" i="11"/>
  <c r="C32" i="11"/>
  <c r="F82" i="2"/>
  <c r="F82" i="3"/>
  <c r="F82" i="7"/>
  <c r="F84" i="3"/>
  <c r="F84" i="9"/>
  <c r="F84" i="5"/>
  <c r="F86" i="5"/>
  <c r="F86" i="3"/>
  <c r="F86" i="7"/>
  <c r="F88" i="3"/>
  <c r="F88" i="12"/>
  <c r="F88" i="10"/>
  <c r="F90" i="2"/>
  <c r="F90" i="3"/>
  <c r="F90" i="5"/>
  <c r="F92" i="3"/>
  <c r="F92" i="12"/>
  <c r="F92" i="7"/>
  <c r="F101" i="4"/>
  <c r="C34" i="4"/>
  <c r="F101" i="2"/>
  <c r="C34" i="2"/>
  <c r="F101" i="8"/>
  <c r="C34" i="8"/>
  <c r="F103" i="2"/>
  <c r="F103" i="9"/>
  <c r="F103" i="7"/>
  <c r="K97" i="9"/>
  <c r="K97" i="10"/>
  <c r="K97" i="2"/>
  <c r="K99" i="10"/>
  <c r="K99" i="9"/>
  <c r="K99" i="3"/>
  <c r="K105" i="9"/>
  <c r="K106" i="11"/>
  <c r="K105" i="10"/>
  <c r="K106" i="10"/>
  <c r="K106" i="3"/>
  <c r="K105" i="1"/>
  <c r="K109" i="9"/>
  <c r="K109" i="8"/>
  <c r="K109" i="2"/>
  <c r="K46" i="10"/>
  <c r="K46" i="11"/>
  <c r="K46" i="3"/>
  <c r="K48" i="9"/>
  <c r="K48" i="10"/>
  <c r="K48" i="2"/>
  <c r="K50" i="8"/>
  <c r="K50" i="9"/>
  <c r="K50" i="1"/>
  <c r="K52" i="9"/>
  <c r="K52" i="10"/>
  <c r="K52" i="2"/>
  <c r="J54" i="8"/>
  <c r="K54" i="8" s="1"/>
  <c r="F54" i="8"/>
  <c r="D24" i="8"/>
  <c r="J54" i="9"/>
  <c r="K54" i="9" s="1"/>
  <c r="F54" i="9"/>
  <c r="D24" i="9"/>
  <c r="J54" i="1"/>
  <c r="K54" i="1" s="1"/>
  <c r="F54" i="1"/>
  <c r="D24" i="1"/>
  <c r="K56" i="9"/>
  <c r="K56" i="12"/>
  <c r="K56" i="2"/>
  <c r="K58" i="8"/>
  <c r="K58" i="9"/>
  <c r="K58" i="1"/>
  <c r="K60" i="9"/>
  <c r="K60" i="12"/>
  <c r="K60" i="2"/>
  <c r="K62" i="8"/>
  <c r="K62" i="7"/>
  <c r="K62" i="3"/>
  <c r="K64" i="9"/>
  <c r="K64" i="10"/>
  <c r="K64" i="2"/>
  <c r="K66" i="10"/>
  <c r="K66" i="9"/>
  <c r="K66" i="3"/>
  <c r="K68" i="9"/>
  <c r="K68" i="12"/>
  <c r="K68" i="2"/>
  <c r="K70" i="8"/>
  <c r="K70" i="9"/>
  <c r="K70" i="3"/>
  <c r="K72" i="9"/>
  <c r="K72" i="10"/>
  <c r="K72" i="2"/>
  <c r="K75" i="12"/>
  <c r="K75" i="11"/>
  <c r="K75" i="2"/>
  <c r="K77" i="9"/>
  <c r="K77" i="10"/>
  <c r="K77" i="4"/>
  <c r="K79" i="8"/>
  <c r="K79" i="9"/>
  <c r="K79" i="2"/>
  <c r="K81" i="9"/>
  <c r="K81" i="10"/>
  <c r="K81" i="4"/>
  <c r="K83" i="10"/>
  <c r="K83" i="9"/>
  <c r="K83" i="2"/>
  <c r="K85" i="9"/>
  <c r="K85" i="10"/>
  <c r="K85" i="4"/>
  <c r="K87" i="8"/>
  <c r="K87" i="9"/>
  <c r="K87" i="2"/>
  <c r="K89" i="9"/>
  <c r="K89" i="10"/>
  <c r="K89" i="4"/>
  <c r="K91" i="10"/>
  <c r="K91" i="9"/>
  <c r="K91" i="2"/>
  <c r="K93" i="9"/>
  <c r="K93" i="10"/>
  <c r="K93" i="4"/>
  <c r="K96" i="8"/>
  <c r="K96" i="9"/>
  <c r="K96" i="2"/>
  <c r="K98" i="9"/>
  <c r="K98" i="10"/>
  <c r="K98" i="4"/>
  <c r="K100" i="10"/>
  <c r="K100" i="9"/>
  <c r="K100" i="2"/>
  <c r="K102" i="9"/>
  <c r="K102" i="10"/>
  <c r="K102" i="4"/>
  <c r="K104" i="10"/>
  <c r="K104" i="9"/>
  <c r="K104" i="1"/>
  <c r="K108" i="10"/>
  <c r="K108" i="9"/>
  <c r="K108" i="1"/>
  <c r="K110" i="9"/>
  <c r="K110" i="8"/>
  <c r="K110" i="4"/>
  <c r="J112" i="10"/>
  <c r="K112" i="10" s="1"/>
  <c r="F112" i="10"/>
  <c r="J112" i="9"/>
  <c r="K112" i="9" s="1"/>
  <c r="F112" i="9"/>
  <c r="J112" i="1"/>
  <c r="K112" i="1" s="1"/>
  <c r="F112" i="1"/>
  <c r="K94" i="10"/>
  <c r="K94" i="9"/>
  <c r="K94" i="3"/>
  <c r="K101" i="9"/>
  <c r="K101" i="10"/>
  <c r="K101" i="2"/>
  <c r="K107" i="10"/>
  <c r="K107" i="11"/>
  <c r="K107" i="3"/>
  <c r="K111" i="10"/>
  <c r="K111" i="11"/>
  <c r="K111" i="3"/>
  <c r="F67" i="2"/>
  <c r="F67" i="4"/>
  <c r="F67" i="6"/>
  <c r="F69" i="10"/>
  <c r="F69" i="1"/>
  <c r="F69" i="5"/>
  <c r="F71" i="1"/>
  <c r="F71" i="4"/>
  <c r="F71" i="6"/>
  <c r="F74" i="7"/>
  <c r="F74" i="11"/>
  <c r="F74" i="9"/>
  <c r="F76" i="1"/>
  <c r="F76" i="9"/>
  <c r="F76" i="10"/>
  <c r="F78" i="2"/>
  <c r="F78" i="11"/>
  <c r="F78" i="7"/>
  <c r="C32" i="3"/>
  <c r="F80" i="3"/>
  <c r="F80" i="9"/>
  <c r="C32" i="9"/>
  <c r="F80" i="10"/>
  <c r="C32" i="10"/>
  <c r="F82" i="12"/>
  <c r="F82" i="11"/>
  <c r="F82" i="8"/>
  <c r="F84" i="1"/>
  <c r="F84" i="7"/>
  <c r="F84" i="11"/>
  <c r="F86" i="2"/>
  <c r="F86" i="11"/>
  <c r="F86" i="6"/>
  <c r="F88" i="1"/>
  <c r="F88" i="9"/>
  <c r="F88" i="7"/>
  <c r="F90" i="12"/>
  <c r="F90" i="11"/>
  <c r="F90" i="9"/>
  <c r="F92" i="1"/>
  <c r="F92" i="9"/>
  <c r="F92" i="6"/>
  <c r="F101" i="3"/>
  <c r="C34" i="3"/>
  <c r="C34" i="12"/>
  <c r="F101" i="12"/>
  <c r="C34" i="7"/>
  <c r="F101" i="7"/>
  <c r="F103" i="12"/>
  <c r="F103" i="3"/>
  <c r="F103" i="6"/>
  <c r="K97" i="7"/>
  <c r="K97" i="8"/>
  <c r="K97" i="1"/>
  <c r="K99" i="8"/>
  <c r="K99" i="7"/>
  <c r="K99" i="4"/>
  <c r="K105" i="7"/>
  <c r="K106" i="9"/>
  <c r="K105" i="8"/>
  <c r="K106" i="8"/>
  <c r="K105" i="2"/>
  <c r="K105" i="3"/>
  <c r="K109" i="7"/>
  <c r="K109" i="6"/>
  <c r="K109" i="1"/>
  <c r="K46" i="8"/>
  <c r="K46" i="9"/>
  <c r="K46" i="2"/>
  <c r="K48" i="7"/>
  <c r="K48" i="8"/>
  <c r="K48" i="1"/>
  <c r="K50" i="6"/>
  <c r="K50" i="7"/>
  <c r="K50" i="3"/>
  <c r="K52" i="7"/>
  <c r="K52" i="8"/>
  <c r="K52" i="1"/>
  <c r="J54" i="6"/>
  <c r="K54" i="6" s="1"/>
  <c r="F54" i="6"/>
  <c r="D24" i="6"/>
  <c r="J54" i="7"/>
  <c r="K54" i="7" s="1"/>
  <c r="F54" i="7"/>
  <c r="D24" i="7"/>
  <c r="J54" i="3"/>
  <c r="K54" i="3" s="1"/>
  <c r="F54" i="3"/>
  <c r="D24" i="3"/>
  <c r="K56" i="7"/>
  <c r="K56" i="10"/>
  <c r="K56" i="1"/>
  <c r="K58" i="6"/>
  <c r="K58" i="7"/>
  <c r="K58" i="3"/>
  <c r="K60" i="7"/>
  <c r="K60" i="10"/>
  <c r="K60" i="1"/>
  <c r="K62" i="6"/>
  <c r="K62" i="5"/>
  <c r="K62" i="4"/>
  <c r="K64" i="7"/>
  <c r="K64" i="8"/>
  <c r="K64" i="1"/>
  <c r="K66" i="8"/>
  <c r="K66" i="7"/>
  <c r="K66" i="4"/>
  <c r="K68" i="7"/>
  <c r="K68" i="10"/>
  <c r="K68" i="1"/>
  <c r="K70" i="6"/>
  <c r="K70" i="7"/>
  <c r="K70" i="4"/>
  <c r="K72" i="7"/>
  <c r="K72" i="8"/>
  <c r="K72" i="1"/>
  <c r="K75" i="10"/>
  <c r="K75" i="9"/>
  <c r="K75" i="1"/>
  <c r="K77" i="7"/>
  <c r="K77" i="8"/>
  <c r="K77" i="2"/>
  <c r="K79" i="6"/>
  <c r="K79" i="7"/>
  <c r="K79" i="1"/>
  <c r="K81" i="7"/>
  <c r="K81" i="8"/>
  <c r="K81" i="2"/>
  <c r="K83" i="8"/>
  <c r="K83" i="7"/>
  <c r="K83" i="1"/>
  <c r="K85" i="7"/>
  <c r="K85" i="8"/>
  <c r="K85" i="2"/>
  <c r="K87" i="6"/>
  <c r="K87" i="7"/>
  <c r="K87" i="1"/>
  <c r="K89" i="7"/>
  <c r="K89" i="8"/>
  <c r="K89" i="2"/>
  <c r="K91" i="8"/>
  <c r="K91" i="7"/>
  <c r="K91" i="1"/>
  <c r="K93" i="7"/>
  <c r="K93" i="8"/>
  <c r="K93" i="2"/>
  <c r="K96" i="6"/>
  <c r="K96" i="7"/>
  <c r="K96" i="1"/>
  <c r="K98" i="7"/>
  <c r="K98" i="8"/>
  <c r="K98" i="2"/>
  <c r="K100" i="8"/>
  <c r="K100" i="7"/>
  <c r="K100" i="1"/>
  <c r="K102" i="7"/>
  <c r="K102" i="8"/>
  <c r="K102" i="2"/>
  <c r="K104" i="8"/>
  <c r="K104" i="7"/>
  <c r="K104" i="5"/>
  <c r="K108" i="8"/>
  <c r="K108" i="7"/>
  <c r="K108" i="5"/>
  <c r="K110" i="7"/>
  <c r="K110" i="6"/>
  <c r="K110" i="2"/>
  <c r="J112" i="8"/>
  <c r="K112" i="8" s="1"/>
  <c r="F112" i="8"/>
  <c r="J112" i="7"/>
  <c r="K112" i="7" s="1"/>
  <c r="F112" i="7"/>
  <c r="J112" i="5"/>
  <c r="K112" i="5" s="1"/>
  <c r="F112" i="5"/>
  <c r="K94" i="8"/>
  <c r="K94" i="7"/>
  <c r="K94" i="4"/>
  <c r="K101" i="7"/>
  <c r="K101" i="8"/>
  <c r="K101" i="1"/>
  <c r="K107" i="8"/>
  <c r="K107" i="9"/>
  <c r="K107" i="4"/>
  <c r="K111" i="8"/>
  <c r="K111" i="9"/>
  <c r="K111" i="4"/>
  <c r="F67" i="12"/>
  <c r="F67" i="11"/>
  <c r="F67" i="10"/>
  <c r="F69" i="4"/>
  <c r="F69" i="2"/>
  <c r="F69" i="7"/>
  <c r="F71" i="5"/>
  <c r="F71" i="11"/>
  <c r="F71" i="10"/>
  <c r="F74" i="12"/>
  <c r="F74" i="3"/>
  <c r="F74" i="8"/>
  <c r="F76" i="2"/>
  <c r="F76" i="7"/>
  <c r="F76" i="6"/>
  <c r="F78" i="12"/>
  <c r="F78" i="10"/>
  <c r="F78" i="8"/>
  <c r="F80" i="1"/>
  <c r="C32" i="1"/>
  <c r="F80" i="7"/>
  <c r="C32" i="7"/>
  <c r="F80" i="5"/>
  <c r="C32" i="5"/>
  <c r="F82" i="5"/>
  <c r="F82" i="10"/>
  <c r="F82" i="6"/>
  <c r="F84" i="2"/>
  <c r="F84" i="8"/>
  <c r="F84" i="10"/>
  <c r="F86" i="12"/>
  <c r="F86" i="10"/>
  <c r="F86" i="8"/>
  <c r="F88" i="6"/>
  <c r="F88" i="8"/>
  <c r="F88" i="5"/>
  <c r="F90" i="4"/>
  <c r="F90" i="10"/>
  <c r="F90" i="8"/>
  <c r="F92" i="2"/>
  <c r="F92" i="11"/>
  <c r="F92" i="5"/>
  <c r="C34" i="1"/>
  <c r="F101" i="1"/>
  <c r="C34" i="11"/>
  <c r="F101" i="11"/>
  <c r="C34" i="5"/>
  <c r="F101" i="5"/>
  <c r="F103" i="4"/>
  <c r="F103" i="11"/>
  <c r="F103" i="10"/>
  <c r="K97" i="5"/>
  <c r="K97" i="6"/>
  <c r="K97" i="3"/>
  <c r="K99" i="6"/>
  <c r="K99" i="5"/>
  <c r="K99" i="2"/>
  <c r="K106" i="5"/>
  <c r="K106" i="7"/>
  <c r="K105" i="6"/>
  <c r="K106" i="6"/>
  <c r="K106" i="4"/>
  <c r="K106" i="1"/>
  <c r="K109" i="12"/>
  <c r="K109" i="5"/>
  <c r="K109" i="3"/>
  <c r="K46" i="6"/>
  <c r="K46" i="7"/>
  <c r="K48" i="5"/>
  <c r="K48" i="6"/>
  <c r="K48" i="3"/>
  <c r="K50" i="4"/>
  <c r="K50" i="5"/>
  <c r="K50" i="2"/>
  <c r="K52" i="5"/>
  <c r="K52" i="6"/>
  <c r="K52" i="3"/>
  <c r="J54" i="12"/>
  <c r="K54" i="12" s="1"/>
  <c r="F54" i="12"/>
  <c r="D24" i="12"/>
  <c r="J54" i="5"/>
  <c r="K54" i="5" s="1"/>
  <c r="F54" i="5"/>
  <c r="D24" i="5"/>
  <c r="J54" i="2"/>
  <c r="K54" i="2" s="1"/>
  <c r="F54" i="2"/>
  <c r="D24" i="2"/>
  <c r="K56" i="5"/>
  <c r="K56" i="8"/>
  <c r="K56" i="3"/>
  <c r="K58" i="12"/>
  <c r="K58" i="5"/>
  <c r="K58" i="2"/>
  <c r="K60" i="5"/>
  <c r="K60" i="8"/>
  <c r="K60" i="3"/>
  <c r="K62" i="11"/>
  <c r="K62" i="12"/>
  <c r="K62" i="2"/>
  <c r="K64" i="5"/>
  <c r="K64" i="6"/>
  <c r="K64" i="3"/>
  <c r="K66" i="6"/>
  <c r="K66" i="5"/>
  <c r="K66" i="2"/>
  <c r="K68" i="5"/>
  <c r="K68" i="8"/>
  <c r="K68" i="3"/>
  <c r="K70" i="12"/>
  <c r="K70" i="5"/>
  <c r="K70" i="2"/>
  <c r="K72" i="5"/>
  <c r="K72" i="6"/>
  <c r="K72" i="3"/>
  <c r="K75" i="8"/>
  <c r="K75" i="7"/>
  <c r="K75" i="3"/>
  <c r="K77" i="5"/>
  <c r="K77" i="6"/>
  <c r="K77" i="1"/>
  <c r="K79" i="12"/>
  <c r="K79" i="5"/>
  <c r="K79" i="3"/>
  <c r="K81" i="5"/>
  <c r="K81" i="6"/>
  <c r="K81" i="1"/>
  <c r="K83" i="6"/>
  <c r="K83" i="5"/>
  <c r="K83" i="3"/>
  <c r="K85" i="5"/>
  <c r="K85" i="6"/>
  <c r="K85" i="1"/>
  <c r="K87" i="12"/>
  <c r="K87" i="5"/>
  <c r="K87" i="3"/>
  <c r="K89" i="5"/>
  <c r="K89" i="6"/>
  <c r="K89" i="1"/>
  <c r="K91" i="6"/>
  <c r="K91" i="5"/>
  <c r="K91" i="3"/>
  <c r="K93" i="5"/>
  <c r="K93" i="6"/>
  <c r="K93" i="1"/>
  <c r="K96" i="12"/>
  <c r="K96" i="5"/>
  <c r="K96" i="3"/>
  <c r="K98" i="5"/>
  <c r="K98" i="6"/>
  <c r="K98" i="1"/>
  <c r="K100" i="6"/>
  <c r="K100" i="5"/>
  <c r="K100" i="3"/>
  <c r="K102" i="5"/>
  <c r="K102" i="6"/>
  <c r="K102" i="1"/>
  <c r="K104" i="6"/>
  <c r="K104" i="4"/>
  <c r="K104" i="3"/>
  <c r="K108" i="6"/>
  <c r="K108" i="4"/>
  <c r="K108" i="3"/>
  <c r="K110" i="12"/>
  <c r="K110" i="5"/>
  <c r="K110" i="1"/>
  <c r="J112" i="6"/>
  <c r="K112" i="6" s="1"/>
  <c r="F112" i="6"/>
  <c r="J112" i="4"/>
  <c r="K112" i="4" s="1"/>
  <c r="F112" i="4"/>
  <c r="J112" i="3"/>
  <c r="K112" i="3" s="1"/>
  <c r="F112" i="3"/>
  <c r="K94" i="6"/>
  <c r="K94" i="5"/>
  <c r="K94" i="2"/>
  <c r="K101" i="5"/>
  <c r="K101" i="6"/>
  <c r="K101" i="3"/>
  <c r="K107" i="6"/>
  <c r="K107" i="7"/>
  <c r="K107" i="2"/>
  <c r="K111" i="6"/>
  <c r="K111" i="7"/>
  <c r="K111" i="2"/>
  <c r="F11" i="13"/>
  <c r="F22" i="13"/>
  <c r="F15" i="13"/>
  <c r="F17" i="13"/>
  <c r="F21" i="13"/>
  <c r="F19" i="13"/>
  <c r="F12" i="13"/>
  <c r="F16" i="13"/>
  <c r="F14" i="13"/>
  <c r="F23" i="13"/>
  <c r="F13" i="13"/>
  <c r="F20" i="13"/>
  <c r="F18" i="13"/>
  <c r="F10" i="13"/>
  <c r="F119" i="7" l="1"/>
  <c r="F119" i="12"/>
  <c r="F119" i="8"/>
  <c r="F119" i="2"/>
  <c r="F119" i="6"/>
  <c r="F119" i="9"/>
  <c r="F119" i="3"/>
  <c r="K119" i="11"/>
  <c r="K119" i="9"/>
  <c r="K119" i="10"/>
  <c r="K119" i="12"/>
  <c r="F119" i="5"/>
  <c r="K119" i="2"/>
  <c r="K119" i="4"/>
  <c r="F119" i="11"/>
  <c r="K119" i="7"/>
  <c r="K119" i="8"/>
  <c r="K119" i="6"/>
  <c r="K119" i="3"/>
  <c r="K119" i="5"/>
  <c r="F119" i="4"/>
  <c r="F119" i="10"/>
  <c r="F119" i="1"/>
  <c r="C29" i="13"/>
  <c r="K119" i="1"/>
  <c r="F32" i="7"/>
  <c r="D32" i="7" s="1"/>
  <c r="F32" i="3"/>
  <c r="D32" i="3" s="1"/>
  <c r="F34" i="12"/>
  <c r="D34" i="12" s="1"/>
  <c r="F34" i="4"/>
  <c r="D34" i="4" s="1"/>
  <c r="F34" i="1"/>
  <c r="D34" i="1" s="1"/>
  <c r="F32" i="12"/>
  <c r="D32" i="12" s="1"/>
  <c r="F34" i="11"/>
  <c r="D34" i="11" s="1"/>
  <c r="F25" i="7"/>
  <c r="D25" i="7" s="1"/>
  <c r="C30" i="13"/>
  <c r="C28" i="13"/>
  <c r="F25" i="12"/>
  <c r="D25" i="12" s="1"/>
  <c r="F25" i="6"/>
  <c r="D25" i="6" s="1"/>
  <c r="F25" i="5"/>
  <c r="D25" i="5" s="1"/>
  <c r="F34" i="5"/>
  <c r="D34" i="5" s="1"/>
  <c r="C32" i="13"/>
  <c r="F25" i="1"/>
  <c r="D25" i="1" s="1"/>
  <c r="F24" i="7"/>
  <c r="F32" i="10"/>
  <c r="D32" i="10" s="1"/>
  <c r="F24" i="1"/>
  <c r="F24" i="4"/>
  <c r="F25" i="8"/>
  <c r="F33" i="9"/>
  <c r="D33" i="9" s="1"/>
  <c r="F29" i="7"/>
  <c r="D29" i="7" s="1"/>
  <c r="F25" i="11"/>
  <c r="D25" i="11" s="1"/>
  <c r="C31" i="13"/>
  <c r="C25" i="13"/>
  <c r="F35" i="4"/>
  <c r="D35" i="4" s="1"/>
  <c r="C26" i="13"/>
  <c r="F24" i="5"/>
  <c r="F24" i="8"/>
  <c r="F24" i="10"/>
  <c r="F25" i="10"/>
  <c r="D25" i="10" s="1"/>
  <c r="F25" i="9"/>
  <c r="D25" i="9" s="1"/>
  <c r="F25" i="3"/>
  <c r="D25" i="3" s="1"/>
  <c r="F27" i="11"/>
  <c r="D27" i="11" s="1"/>
  <c r="F33" i="4"/>
  <c r="D33" i="4" s="1"/>
  <c r="F29" i="5"/>
  <c r="D29" i="5" s="1"/>
  <c r="F30" i="8"/>
  <c r="D30" i="8" s="1"/>
  <c r="F30" i="6"/>
  <c r="D30" i="6" s="1"/>
  <c r="F24" i="12"/>
  <c r="C34" i="13"/>
  <c r="F32" i="5"/>
  <c r="D32" i="5" s="1"/>
  <c r="F32" i="1"/>
  <c r="D32" i="1" s="1"/>
  <c r="F24" i="3"/>
  <c r="F34" i="2"/>
  <c r="D34" i="2" s="1"/>
  <c r="F34" i="10"/>
  <c r="D34" i="10" s="1"/>
  <c r="F27" i="7"/>
  <c r="D27" i="7" s="1"/>
  <c r="F31" i="10"/>
  <c r="D31" i="10" s="1"/>
  <c r="F35" i="7"/>
  <c r="D35" i="7" s="1"/>
  <c r="F35" i="12"/>
  <c r="D35" i="12" s="1"/>
  <c r="F26" i="12"/>
  <c r="D26" i="12" s="1"/>
  <c r="F27" i="4"/>
  <c r="D27" i="4" s="1"/>
  <c r="F31" i="9"/>
  <c r="D31" i="9" s="1"/>
  <c r="F35" i="8"/>
  <c r="D35" i="8" s="1"/>
  <c r="F33" i="6"/>
  <c r="D33" i="6" s="1"/>
  <c r="F33" i="11"/>
  <c r="D33" i="11" s="1"/>
  <c r="F30" i="7"/>
  <c r="D30" i="7" s="1"/>
  <c r="F30" i="4"/>
  <c r="D30" i="4" s="1"/>
  <c r="F26" i="11"/>
  <c r="D26" i="11" s="1"/>
  <c r="F28" i="2"/>
  <c r="D28" i="2" s="1"/>
  <c r="F27" i="10"/>
  <c r="D27" i="10" s="1"/>
  <c r="F27" i="3"/>
  <c r="D27" i="3" s="1"/>
  <c r="F31" i="2"/>
  <c r="D31" i="2" s="1"/>
  <c r="F35" i="1"/>
  <c r="F33" i="2"/>
  <c r="D33" i="2" s="1"/>
  <c r="F26" i="10"/>
  <c r="D26" i="10" s="1"/>
  <c r="F26" i="1"/>
  <c r="F28" i="1"/>
  <c r="D28" i="1" s="1"/>
  <c r="F26" i="6"/>
  <c r="D26" i="6" s="1"/>
  <c r="F33" i="1"/>
  <c r="D33" i="1" s="1"/>
  <c r="F29" i="1"/>
  <c r="D29" i="1" s="1"/>
  <c r="F30" i="3"/>
  <c r="D30" i="3" s="1"/>
  <c r="F26" i="3"/>
  <c r="D26" i="3" s="1"/>
  <c r="F28" i="3"/>
  <c r="D28" i="3" s="1"/>
  <c r="F30" i="10"/>
  <c r="D30" i="10" s="1"/>
  <c r="F28" i="9"/>
  <c r="D28" i="9" s="1"/>
  <c r="F32" i="2"/>
  <c r="D32" i="2" s="1"/>
  <c r="F27" i="9"/>
  <c r="D27" i="9" s="1"/>
  <c r="F32" i="9"/>
  <c r="D32" i="9" s="1"/>
  <c r="F32" i="8"/>
  <c r="D32" i="8" s="1"/>
  <c r="F31" i="8"/>
  <c r="D31" i="8" s="1"/>
  <c r="F33" i="3"/>
  <c r="D33" i="3" s="1"/>
  <c r="F28" i="8"/>
  <c r="D28" i="8" s="1"/>
  <c r="C27" i="13"/>
  <c r="F31" i="11"/>
  <c r="D31" i="11" s="1"/>
  <c r="F35" i="9"/>
  <c r="D35" i="9" s="1"/>
  <c r="F33" i="5"/>
  <c r="D33" i="5" s="1"/>
  <c r="F29" i="12"/>
  <c r="D29" i="12" s="1"/>
  <c r="F26" i="8"/>
  <c r="D26" i="8" s="1"/>
  <c r="F26" i="2"/>
  <c r="D26" i="2" s="1"/>
  <c r="F25" i="2"/>
  <c r="D25" i="2" s="1"/>
  <c r="F35" i="10"/>
  <c r="D35" i="10" s="1"/>
  <c r="C35" i="13"/>
  <c r="F29" i="2"/>
  <c r="D29" i="2" s="1"/>
  <c r="F30" i="1"/>
  <c r="D30" i="1" s="1"/>
  <c r="F25" i="4"/>
  <c r="D25" i="4" s="1"/>
  <c r="F29" i="4"/>
  <c r="D29" i="4" s="1"/>
  <c r="F28" i="11"/>
  <c r="D28" i="11" s="1"/>
  <c r="F35" i="11"/>
  <c r="D35" i="11" s="1"/>
  <c r="F35" i="3"/>
  <c r="D35" i="3" s="1"/>
  <c r="C33" i="13"/>
  <c r="F29" i="10"/>
  <c r="D29" i="10" s="1"/>
  <c r="F26" i="9"/>
  <c r="D26" i="9" s="1"/>
  <c r="F28" i="5"/>
  <c r="D28" i="5" s="1"/>
  <c r="F34" i="3"/>
  <c r="D34" i="3" s="1"/>
  <c r="F31" i="3"/>
  <c r="D31" i="3" s="1"/>
  <c r="F29" i="3"/>
  <c r="D29" i="3" s="1"/>
  <c r="F24" i="2"/>
  <c r="F24" i="6"/>
  <c r="F34" i="7"/>
  <c r="D34" i="7" s="1"/>
  <c r="F24" i="9"/>
  <c r="F34" i="8"/>
  <c r="D34" i="8" s="1"/>
  <c r="F32" i="11"/>
  <c r="D32" i="11" s="1"/>
  <c r="F32" i="4"/>
  <c r="D32" i="4" s="1"/>
  <c r="F24" i="11"/>
  <c r="F34" i="9"/>
  <c r="D34" i="9" s="1"/>
  <c r="F34" i="6"/>
  <c r="D34" i="6" s="1"/>
  <c r="F31" i="6"/>
  <c r="D31" i="6" s="1"/>
  <c r="F32" i="6"/>
  <c r="D32" i="6" s="1"/>
  <c r="F29" i="8"/>
  <c r="D29" i="8" s="1"/>
  <c r="F27" i="5"/>
  <c r="D27" i="5" s="1"/>
  <c r="F27" i="6"/>
  <c r="D27" i="6" s="1"/>
  <c r="F27" i="2"/>
  <c r="D27" i="2" s="1"/>
  <c r="F35" i="6"/>
  <c r="D35" i="6" s="1"/>
  <c r="F33" i="10"/>
  <c r="D33" i="10" s="1"/>
  <c r="F30" i="9"/>
  <c r="D30" i="9" s="1"/>
  <c r="F27" i="8"/>
  <c r="D27" i="8" s="1"/>
  <c r="F27" i="1"/>
  <c r="D27" i="1" s="1"/>
  <c r="F31" i="12"/>
  <c r="D31" i="12" s="1"/>
  <c r="F35" i="2"/>
  <c r="D35" i="2" s="1"/>
  <c r="F29" i="6"/>
  <c r="D29" i="6" s="1"/>
  <c r="F30" i="2"/>
  <c r="D30" i="2" s="1"/>
  <c r="F27" i="12"/>
  <c r="D27" i="12" s="1"/>
  <c r="F31" i="4"/>
  <c r="D31" i="4" s="1"/>
  <c r="F33" i="8"/>
  <c r="D33" i="8" s="1"/>
  <c r="F26" i="4"/>
  <c r="D26" i="4" s="1"/>
  <c r="F28" i="6"/>
  <c r="D28" i="6" s="1"/>
  <c r="F30" i="11"/>
  <c r="D30" i="11" s="1"/>
  <c r="F28" i="10"/>
  <c r="D28" i="10" s="1"/>
  <c r="F31" i="7"/>
  <c r="D31" i="7" s="1"/>
  <c r="F31" i="5"/>
  <c r="D31" i="5" s="1"/>
  <c r="F35" i="5"/>
  <c r="D35" i="5" s="1"/>
  <c r="F26" i="5"/>
  <c r="D26" i="5" s="1"/>
  <c r="F28" i="12"/>
  <c r="D28" i="12" s="1"/>
  <c r="F29" i="9"/>
  <c r="D29" i="9" s="1"/>
  <c r="F26" i="7"/>
  <c r="D26" i="7" s="1"/>
  <c r="F28" i="4"/>
  <c r="D28" i="4" s="1"/>
  <c r="F31" i="1"/>
  <c r="F33" i="7"/>
  <c r="D33" i="7" s="1"/>
  <c r="F33" i="12"/>
  <c r="D33" i="12" s="1"/>
  <c r="F29" i="11"/>
  <c r="D29" i="11" s="1"/>
  <c r="F30" i="5"/>
  <c r="D30" i="5" s="1"/>
  <c r="F30" i="12"/>
  <c r="D30" i="12" s="1"/>
  <c r="F28" i="7"/>
  <c r="D28" i="7" s="1"/>
  <c r="F24" i="13" l="1"/>
  <c r="D24" i="13" s="1"/>
  <c r="F27" i="13"/>
  <c r="D27" i="13" s="1"/>
  <c r="F39" i="6"/>
  <c r="C5" i="6" s="1"/>
  <c r="F32" i="13"/>
  <c r="D32" i="13" s="1"/>
  <c r="F29" i="13"/>
  <c r="D29" i="13" s="1"/>
  <c r="F33" i="13"/>
  <c r="D33" i="13" s="1"/>
  <c r="F35" i="13"/>
  <c r="D35" i="1"/>
  <c r="D26" i="1"/>
  <c r="F26" i="13"/>
  <c r="F28" i="13"/>
  <c r="D31" i="1"/>
  <c r="F31" i="13"/>
  <c r="F34" i="13"/>
  <c r="F25" i="13"/>
  <c r="F30" i="13"/>
  <c r="F39" i="8"/>
  <c r="C5" i="8" s="1"/>
  <c r="D25" i="8"/>
  <c r="F39" i="11"/>
  <c r="C5" i="11" s="1"/>
  <c r="F39" i="2"/>
  <c r="C5" i="2" s="1"/>
  <c r="F39" i="7"/>
  <c r="C5" i="7" s="1"/>
  <c r="F39" i="5"/>
  <c r="C5" i="5" s="1"/>
  <c r="F39" i="9"/>
  <c r="C5" i="9" s="1"/>
  <c r="F39" i="12"/>
  <c r="C5" i="12" s="1"/>
  <c r="F39" i="3"/>
  <c r="C5" i="3" s="1"/>
  <c r="F39" i="10"/>
  <c r="C5" i="10" s="1"/>
  <c r="F39" i="4"/>
  <c r="C5" i="4" s="1"/>
  <c r="F39" i="1"/>
  <c r="C5" i="1" s="1"/>
  <c r="D26" i="13" l="1"/>
  <c r="D30" i="13"/>
  <c r="D34" i="13"/>
  <c r="D35" i="13"/>
  <c r="D31" i="13"/>
  <c r="D25" i="13"/>
  <c r="D28" i="13"/>
  <c r="F37" i="13"/>
</calcChain>
</file>

<file path=xl/sharedStrings.xml><?xml version="1.0" encoding="utf-8"?>
<sst xmlns="http://schemas.openxmlformats.org/spreadsheetml/2006/main" count="2058" uniqueCount="185">
  <si>
    <t>Exposure</t>
  </si>
  <si>
    <t>Basis</t>
  </si>
  <si>
    <t>Acute Care Beds - Daily Average Number Occupied</t>
  </si>
  <si>
    <t>Cribs &amp; Bassinets - Daily Average Number Occupied</t>
  </si>
  <si>
    <t>Extended Care Beds - Daily Average Number occupied</t>
  </si>
  <si>
    <t>Psychiatric Care Beds - Daily Average Number occupied</t>
  </si>
  <si>
    <t>Chemical Dependency Beds - Daily Average Number occupied</t>
  </si>
  <si>
    <t>Physical Rehab Beds - Daily Average Number occupied</t>
  </si>
  <si>
    <t>Surgeries: Outpatient - Total Number</t>
  </si>
  <si>
    <t xml:space="preserve">Surgeries: Inpatient - total number </t>
  </si>
  <si>
    <t>Vaginal Deliveries Only - Total Number</t>
  </si>
  <si>
    <t>C Sections Only - Total Number</t>
  </si>
  <si>
    <t>Physicians: Group 1</t>
  </si>
  <si>
    <t>Physicians: Group 2</t>
  </si>
  <si>
    <t>Physicians: Group 3</t>
  </si>
  <si>
    <t>Physicians: Group 4</t>
  </si>
  <si>
    <t>Physicians: Group 5</t>
  </si>
  <si>
    <t>Physicians: Group 6</t>
  </si>
  <si>
    <t>Physicians: Group 7</t>
  </si>
  <si>
    <t>Physicians: Group 8</t>
  </si>
  <si>
    <t>Physician Assistants</t>
  </si>
  <si>
    <t>PER BED</t>
  </si>
  <si>
    <t>PER 100</t>
  </si>
  <si>
    <t>EACH</t>
  </si>
  <si>
    <t>DEPOSIT PREMIUM:</t>
  </si>
  <si>
    <t>LiCON MONTHLY REPORT FORM (MRF)</t>
  </si>
  <si>
    <t>Contribution Earned</t>
  </si>
  <si>
    <t>Rate</t>
  </si>
  <si>
    <t>Administrative Medicine- NS</t>
  </si>
  <si>
    <t>Allergy- NS</t>
  </si>
  <si>
    <t>Pathology- MS</t>
  </si>
  <si>
    <t>Pathology- NS</t>
  </si>
  <si>
    <t>Physical and Rehab Medicine- NS</t>
  </si>
  <si>
    <t>Psychiatry- NS</t>
  </si>
  <si>
    <t>Cardiovascular Disease- NS</t>
  </si>
  <si>
    <t>Dermatology</t>
  </si>
  <si>
    <t>Endocrinology- MS</t>
  </si>
  <si>
    <t>Endocrinology- NS</t>
  </si>
  <si>
    <t>Endocrinology- Surgery</t>
  </si>
  <si>
    <t>Gastroenterology- MS</t>
  </si>
  <si>
    <t>Gastroenterology- NS</t>
  </si>
  <si>
    <t>Gastroenterology- Surgery</t>
  </si>
  <si>
    <t>General Preventive Med- NS</t>
  </si>
  <si>
    <t>Hematology- MS</t>
  </si>
  <si>
    <t>Hematology- NS</t>
  </si>
  <si>
    <t>Nephrology- Surgery</t>
  </si>
  <si>
    <t>Nephrology/Urology- NS</t>
  </si>
  <si>
    <t>Oncology- NS</t>
  </si>
  <si>
    <t>Pediatrics- MS</t>
  </si>
  <si>
    <t>Pediatrics- NS</t>
  </si>
  <si>
    <t>Pulmonary Diseases- MS</t>
  </si>
  <si>
    <t>Pulmonary Diseases- NS</t>
  </si>
  <si>
    <t>Radiology Diagnostics- NS</t>
  </si>
  <si>
    <t>Rheumatology- NS</t>
  </si>
  <si>
    <t>Neurology- MS</t>
  </si>
  <si>
    <t>Neurology- NS</t>
  </si>
  <si>
    <t>Ophthalmology- MS</t>
  </si>
  <si>
    <t>Ophthalmology- NS</t>
  </si>
  <si>
    <t>Ophthalmology- Surgery</t>
  </si>
  <si>
    <t>Surgical Assistant-  (MD)</t>
  </si>
  <si>
    <t>Anesthesiology- Surgery</t>
  </si>
  <si>
    <t>Cardiovascular Disease- MS</t>
  </si>
  <si>
    <t>Neonatology</t>
  </si>
  <si>
    <t>Nephrology/Urology- MS</t>
  </si>
  <si>
    <t>Gynecology- MS</t>
  </si>
  <si>
    <t>Gynecology- NS</t>
  </si>
  <si>
    <t>Gynecology- Surgery</t>
  </si>
  <si>
    <t>Nurse Midwife</t>
  </si>
  <si>
    <t>Radiology Intervention (Undefined)</t>
  </si>
  <si>
    <t>Colon and Rectal- Surgery</t>
  </si>
  <si>
    <t>Family or General Practice- Surgery</t>
  </si>
  <si>
    <t>Otorhinolaryngology- Plastic</t>
  </si>
  <si>
    <t>Cardiovascular- Surgery</t>
  </si>
  <si>
    <t>Orthopedic</t>
  </si>
  <si>
    <t>Orthopedic- No Neck/Back Surgery</t>
  </si>
  <si>
    <t>Thoracic- Surgery</t>
  </si>
  <si>
    <t>Vascular- Surgery</t>
  </si>
  <si>
    <t>Neurology- Surgery</t>
  </si>
  <si>
    <t>Obstetrics- Surgery</t>
  </si>
  <si>
    <t>Nurse Anesthetists</t>
  </si>
  <si>
    <t>Nurse Practitioners</t>
  </si>
  <si>
    <t>Visits</t>
  </si>
  <si>
    <t>FTE</t>
  </si>
  <si>
    <t>Deductible</t>
  </si>
  <si>
    <t>Total Contribution Due LiCON</t>
  </si>
  <si>
    <t>GR #</t>
  </si>
  <si>
    <t>Physician Specialty</t>
  </si>
  <si>
    <t>Yes</t>
  </si>
  <si>
    <t>Minutes per visit</t>
  </si>
  <si>
    <t>Hours in Month</t>
  </si>
  <si>
    <t>Ratio to Family Practice</t>
  </si>
  <si>
    <t xml:space="preserve">Independent Contractor </t>
  </si>
  <si>
    <t>No</t>
  </si>
  <si>
    <t>Physician Type                            Use Drop Down Menu</t>
  </si>
  <si>
    <t>Independent Contractor?  Select Yes if True</t>
  </si>
  <si>
    <t>July</t>
  </si>
  <si>
    <t>August</t>
  </si>
  <si>
    <t>September</t>
  </si>
  <si>
    <t xml:space="preserve">October </t>
  </si>
  <si>
    <t xml:space="preserve">November </t>
  </si>
  <si>
    <t>January</t>
  </si>
  <si>
    <t>February</t>
  </si>
  <si>
    <t xml:space="preserve">March </t>
  </si>
  <si>
    <t>April</t>
  </si>
  <si>
    <t>May</t>
  </si>
  <si>
    <t>June</t>
  </si>
  <si>
    <t>Total</t>
  </si>
  <si>
    <t>December</t>
  </si>
  <si>
    <t>Family Practice Ratio</t>
  </si>
  <si>
    <t>Ratio to Acute Care Bed Rate</t>
  </si>
  <si>
    <t>Minutes in Month</t>
  </si>
  <si>
    <t xml:space="preserve">Contribution </t>
  </si>
  <si>
    <t>Units</t>
  </si>
  <si>
    <t>Relative Rate</t>
  </si>
  <si>
    <t>Emergency Visits - total number of visits</t>
  </si>
  <si>
    <t>Outpatient other - total number of visits</t>
  </si>
  <si>
    <t>Home Health - total number</t>
  </si>
  <si>
    <t>Ambulance Professional Li</t>
  </si>
  <si>
    <t>Ratio Family Practice to Acute care Bed Rate</t>
  </si>
  <si>
    <t>Base Rate</t>
  </si>
  <si>
    <t>PHYSICIAN VISITS INPUT PAGE</t>
  </si>
  <si>
    <t>INSERT NEW PHYSICIANS AT END OF LIST</t>
  </si>
  <si>
    <t>INSERT PHYSICIAN ONCE FOR EACH PRACTICE</t>
  </si>
  <si>
    <t>CHOOSE A PRACTICE TYPE FROM THE DROP DOWN MENU</t>
  </si>
  <si>
    <t>CHOOSE YES FOR INDEPENDENT CONTRACTORS FROM THE DROP DOWN MENU</t>
  </si>
  <si>
    <t>DO NOT INPUT ANY INFORMATION ON THIS PAGE</t>
  </si>
  <si>
    <t xml:space="preserve">July </t>
  </si>
  <si>
    <t xml:space="preserve">August </t>
  </si>
  <si>
    <t>November</t>
  </si>
  <si>
    <t>October</t>
  </si>
  <si>
    <t>March</t>
  </si>
  <si>
    <t>Year Ending</t>
  </si>
  <si>
    <t>TO PRINT A MONTH'S WORKSHEET</t>
  </si>
  <si>
    <t>Press Enter</t>
  </si>
  <si>
    <t>Independent Contractor Surcharge</t>
  </si>
  <si>
    <t>Enter increase to the left</t>
  </si>
  <si>
    <t>Emergency Room Physicians</t>
  </si>
  <si>
    <t>Family or General Practice- OB</t>
  </si>
  <si>
    <t>General NOC- Surgery</t>
  </si>
  <si>
    <t>OB/GYN- Surgery</t>
  </si>
  <si>
    <t>Urological- Surgery</t>
  </si>
  <si>
    <t>PHYSICIAN MINUTES INPUT PAGE</t>
  </si>
  <si>
    <t>Minutes</t>
  </si>
  <si>
    <t>Visits/Visits Equivalents</t>
  </si>
  <si>
    <t>Hospitalists?</t>
  </si>
  <si>
    <t>Or Hospitalists</t>
  </si>
  <si>
    <t>Otorhinolaryngology- No Plastic</t>
  </si>
  <si>
    <t>Hospitalists Minutes per visit</t>
  </si>
  <si>
    <t>INDEPENDENT CONTRACTORS</t>
  </si>
  <si>
    <t>Surcharge</t>
  </si>
  <si>
    <t>Physician Type                                    Use Drop Down Menu</t>
  </si>
  <si>
    <t>DO NOT CUT AND PASTE.  COPY AND PASTE IS OKAY.</t>
  </si>
  <si>
    <t>Pain Management - Surgery</t>
  </si>
  <si>
    <t>GO TO PHYSICIAN MINUTES INPUT PAGE if any</t>
  </si>
  <si>
    <t>Internal Medicine - NS/MS</t>
  </si>
  <si>
    <t>Family or General Practice- NS/MS</t>
  </si>
  <si>
    <t>Add a Practice</t>
  </si>
  <si>
    <t>VISITS</t>
  </si>
  <si>
    <t>Last Name</t>
  </si>
  <si>
    <t>First Name</t>
  </si>
  <si>
    <t>Grover Dils</t>
  </si>
  <si>
    <t>Anderson</t>
  </si>
  <si>
    <t xml:space="preserve"> Clair Barton</t>
  </si>
  <si>
    <t>Katschke Jr.</t>
  </si>
  <si>
    <t xml:space="preserve"> R. William</t>
  </si>
  <si>
    <t>Luedeman</t>
  </si>
  <si>
    <t xml:space="preserve"> Michael</t>
  </si>
  <si>
    <t>YES</t>
  </si>
  <si>
    <t>Rogers</t>
  </si>
  <si>
    <t xml:space="preserve"> John</t>
  </si>
  <si>
    <t>Wilbur</t>
  </si>
  <si>
    <t xml:space="preserve"> Mark</t>
  </si>
  <si>
    <t>Harris</t>
  </si>
  <si>
    <t xml:space="preserve"> Benjamin</t>
  </si>
  <si>
    <t>Jensen</t>
  </si>
  <si>
    <t xml:space="preserve"> Kevin V.</t>
  </si>
  <si>
    <t>Schofield</t>
  </si>
  <si>
    <t xml:space="preserve"> Robert</t>
  </si>
  <si>
    <t>Croshaw</t>
  </si>
  <si>
    <t>Marc</t>
  </si>
  <si>
    <t>Avery</t>
  </si>
  <si>
    <t>Nathan</t>
  </si>
  <si>
    <t>For the Year Ending June 30, 2020</t>
  </si>
  <si>
    <t>Dalton</t>
  </si>
  <si>
    <t>David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</si>
</sst>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  <numFmt numFmtId="166" formatCode="#,##0.000_);\(#,##0.000\)"/>
    <numFmt numFmtId="167" formatCode="#,##0.0000"/>
    <numFmt numFmtId="168" formatCode="0.0000"/>
    <numFmt numFmtId="169" formatCode="0.000"/>
    <numFmt numFmtId="170" formatCode="0.00000"/>
    <numFmt numFmtId="171" formatCode="#,##0.000"/>
  </numFmts>
  <fonts count="1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/>
      <bottom style="medium">
        <color auto="1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medium">
        <color indexed="64"/>
      </bottom>
      <diagonal/>
    </border>
    <border>
      <left style="hair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97">
    <xf numFmtId="0" fontId="0" fillId="0" borderId="0" xfId="0"/>
    <xf numFmtId="0" fontId="0" fillId="0" borderId="0" xfId="0" applyAlignment="1">
      <alignment horizontal="right"/>
    </xf>
    <xf numFmtId="5" fontId="0" fillId="0" borderId="0" xfId="0" applyNumberFormat="1"/>
    <xf numFmtId="5" fontId="0" fillId="0" borderId="0" xfId="0" applyNumberFormat="1" applyAlignment="1"/>
    <xf numFmtId="0" fontId="0" fillId="0" borderId="0" xfId="0" applyAlignment="1">
      <alignment wrapText="1"/>
    </xf>
    <xf numFmtId="39" fontId="0" fillId="0" borderId="0" xfId="0" applyNumberFormat="1" applyAlignment="1"/>
    <xf numFmtId="0" fontId="4" fillId="0" borderId="0" xfId="0" applyFont="1"/>
    <xf numFmtId="10" fontId="4" fillId="0" borderId="0" xfId="0" applyNumberFormat="1" applyFont="1"/>
    <xf numFmtId="165" fontId="0" fillId="0" borderId="0" xfId="0" applyNumberFormat="1"/>
    <xf numFmtId="39" fontId="0" fillId="0" borderId="0" xfId="0" applyNumberFormat="1"/>
    <xf numFmtId="2" fontId="0" fillId="0" borderId="0" xfId="0" applyNumberFormat="1"/>
    <xf numFmtId="2" fontId="0" fillId="0" borderId="0" xfId="0" applyNumberFormat="1" applyAlignment="1">
      <alignment wrapText="1"/>
    </xf>
    <xf numFmtId="2" fontId="3" fillId="0" borderId="0" xfId="0" applyNumberFormat="1" applyFont="1" applyBorder="1"/>
    <xf numFmtId="2" fontId="2" fillId="0" borderId="0" xfId="0" applyNumberFormat="1" applyFont="1"/>
    <xf numFmtId="0" fontId="6" fillId="0" borderId="0" xfId="0" applyFont="1"/>
    <xf numFmtId="7" fontId="7" fillId="0" borderId="0" xfId="0" applyNumberFormat="1" applyFont="1"/>
    <xf numFmtId="2" fontId="0" fillId="0" borderId="0" xfId="0" applyNumberFormat="1" applyBorder="1"/>
    <xf numFmtId="4" fontId="0" fillId="0" borderId="0" xfId="0" applyNumberFormat="1"/>
    <xf numFmtId="0" fontId="9" fillId="0" borderId="0" xfId="0" applyFont="1"/>
    <xf numFmtId="0" fontId="10" fillId="0" borderId="0" xfId="0" applyFont="1"/>
    <xf numFmtId="165" fontId="10" fillId="0" borderId="0" xfId="0" applyNumberFormat="1" applyFont="1"/>
    <xf numFmtId="49" fontId="9" fillId="0" borderId="0" xfId="0" applyNumberFormat="1" applyFont="1"/>
    <xf numFmtId="164" fontId="9" fillId="0" borderId="0" xfId="0" applyNumberFormat="1" applyFont="1"/>
    <xf numFmtId="0" fontId="2" fillId="0" borderId="0" xfId="0" applyFont="1" applyAlignment="1">
      <alignment horizontal="center" wrapText="1"/>
    </xf>
    <xf numFmtId="165" fontId="2" fillId="0" borderId="0" xfId="0" applyNumberFormat="1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7" fillId="0" borderId="0" xfId="0" applyNumberFormat="1" applyFont="1" applyBorder="1"/>
    <xf numFmtId="39" fontId="0" fillId="0" borderId="1" xfId="0" applyNumberFormat="1" applyBorder="1"/>
    <xf numFmtId="3" fontId="4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7" fontId="7" fillId="0" borderId="2" xfId="0" applyNumberFormat="1" applyFont="1" applyBorder="1"/>
    <xf numFmtId="0" fontId="7" fillId="0" borderId="0" xfId="0" applyFont="1"/>
    <xf numFmtId="165" fontId="7" fillId="0" borderId="0" xfId="0" applyNumberFormat="1" applyFont="1"/>
    <xf numFmtId="39" fontId="7" fillId="0" borderId="0" xfId="0" applyNumberFormat="1" applyFont="1" applyBorder="1"/>
    <xf numFmtId="0" fontId="7" fillId="0" borderId="0" xfId="0" applyFont="1" applyAlignment="1">
      <alignment horizontal="right"/>
    </xf>
    <xf numFmtId="10" fontId="7" fillId="0" borderId="0" xfId="0" applyNumberFormat="1" applyFont="1"/>
    <xf numFmtId="7" fontId="7" fillId="0" borderId="0" xfId="0" applyNumberFormat="1" applyFont="1" applyBorder="1"/>
    <xf numFmtId="39" fontId="7" fillId="0" borderId="0" xfId="0" applyNumberFormat="1" applyFont="1"/>
    <xf numFmtId="7" fontId="9" fillId="0" borderId="0" xfId="0" applyNumberFormat="1" applyFont="1"/>
    <xf numFmtId="166" fontId="0" fillId="0" borderId="0" xfId="0" applyNumberFormat="1"/>
    <xf numFmtId="39" fontId="4" fillId="0" borderId="0" xfId="0" applyNumberFormat="1" applyFont="1"/>
    <xf numFmtId="0" fontId="2" fillId="0" borderId="0" xfId="0" applyFont="1" applyAlignment="1">
      <alignment horizontal="center"/>
    </xf>
    <xf numFmtId="43" fontId="0" fillId="0" borderId="0" xfId="1" applyFont="1"/>
    <xf numFmtId="169" fontId="0" fillId="0" borderId="0" xfId="0" applyNumberFormat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Continuous"/>
    </xf>
    <xf numFmtId="0" fontId="2" fillId="0" borderId="0" xfId="0" applyFont="1"/>
    <xf numFmtId="165" fontId="2" fillId="0" borderId="0" xfId="0" applyNumberFormat="1" applyFont="1"/>
    <xf numFmtId="39" fontId="2" fillId="0" borderId="0" xfId="0" applyNumberFormat="1" applyFont="1"/>
    <xf numFmtId="2" fontId="2" fillId="0" borderId="0" xfId="0" applyNumberFormat="1" applyFont="1" applyAlignment="1">
      <alignment wrapText="1"/>
    </xf>
    <xf numFmtId="37" fontId="0" fillId="0" borderId="0" xfId="0" applyNumberFormat="1"/>
    <xf numFmtId="37" fontId="0" fillId="0" borderId="0" xfId="0" applyNumberFormat="1" applyAlignment="1"/>
    <xf numFmtId="37" fontId="0" fillId="0" borderId="0" xfId="0" applyNumberFormat="1" applyBorder="1"/>
    <xf numFmtId="0" fontId="2" fillId="0" borderId="0" xfId="0" applyFont="1" applyAlignment="1">
      <alignment horizontal="right"/>
    </xf>
    <xf numFmtId="10" fontId="2" fillId="0" borderId="0" xfId="0" applyNumberFormat="1" applyFont="1"/>
    <xf numFmtId="7" fontId="2" fillId="0" borderId="0" xfId="0" applyNumberFormat="1" applyFont="1" applyBorder="1"/>
    <xf numFmtId="37" fontId="2" fillId="0" borderId="0" xfId="0" applyNumberFormat="1" applyFont="1" applyBorder="1"/>
    <xf numFmtId="5" fontId="2" fillId="0" borderId="0" xfId="0" applyNumberFormat="1" applyFont="1"/>
    <xf numFmtId="165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 wrapText="1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wrapText="1"/>
    </xf>
    <xf numFmtId="170" fontId="0" fillId="0" borderId="6" xfId="0" applyNumberFormat="1" applyBorder="1"/>
    <xf numFmtId="3" fontId="4" fillId="0" borderId="7" xfId="0" applyNumberFormat="1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8" xfId="0" applyBorder="1" applyAlignment="1">
      <alignment wrapText="1"/>
    </xf>
    <xf numFmtId="170" fontId="0" fillId="0" borderId="9" xfId="0" applyNumberFormat="1" applyBorder="1"/>
    <xf numFmtId="3" fontId="4" fillId="0" borderId="10" xfId="0" applyNumberFormat="1" applyFont="1" applyBorder="1" applyAlignment="1">
      <alignment horizontal="center"/>
    </xf>
    <xf numFmtId="0" fontId="7" fillId="0" borderId="8" xfId="0" applyFont="1" applyBorder="1" applyAlignment="1">
      <alignment wrapText="1"/>
    </xf>
    <xf numFmtId="170" fontId="7" fillId="0" borderId="9" xfId="0" applyNumberFormat="1" applyFont="1" applyBorder="1"/>
    <xf numFmtId="0" fontId="10" fillId="0" borderId="0" xfId="0" applyFont="1" applyAlignment="1">
      <alignment wrapText="1"/>
    </xf>
    <xf numFmtId="49" fontId="13" fillId="0" borderId="0" xfId="0" applyNumberFormat="1" applyFont="1" applyAlignment="1"/>
    <xf numFmtId="0" fontId="0" fillId="0" borderId="0" xfId="0" applyBorder="1"/>
    <xf numFmtId="0" fontId="1" fillId="0" borderId="0" xfId="0" applyFont="1"/>
    <xf numFmtId="0" fontId="1" fillId="0" borderId="0" xfId="0" applyFont="1" applyAlignment="1">
      <alignment wrapText="1"/>
    </xf>
    <xf numFmtId="39" fontId="0" fillId="0" borderId="0" xfId="0" applyNumberFormat="1" applyFill="1" applyAlignment="1"/>
    <xf numFmtId="3" fontId="0" fillId="0" borderId="0" xfId="0" applyNumberFormat="1"/>
    <xf numFmtId="0" fontId="0" fillId="0" borderId="0" xfId="0" applyProtection="1">
      <protection locked="0"/>
    </xf>
    <xf numFmtId="0" fontId="1" fillId="0" borderId="5" xfId="0" applyFont="1" applyBorder="1" applyProtection="1">
      <protection locked="0"/>
    </xf>
    <xf numFmtId="0" fontId="0" fillId="0" borderId="5" xfId="0" applyBorder="1" applyProtection="1">
      <protection locked="0"/>
    </xf>
    <xf numFmtId="168" fontId="0" fillId="0" borderId="5" xfId="0" applyNumberFormat="1" applyBorder="1" applyProtection="1">
      <protection locked="0"/>
    </xf>
    <xf numFmtId="0" fontId="1" fillId="0" borderId="8" xfId="0" applyFont="1" applyBorder="1" applyProtection="1">
      <protection locked="0"/>
    </xf>
    <xf numFmtId="0" fontId="0" fillId="0" borderId="8" xfId="0" applyBorder="1" applyProtection="1">
      <protection locked="0"/>
    </xf>
    <xf numFmtId="168" fontId="0" fillId="0" borderId="8" xfId="0" applyNumberFormat="1" applyBorder="1" applyProtection="1">
      <protection locked="0"/>
    </xf>
    <xf numFmtId="2" fontId="0" fillId="0" borderId="8" xfId="0" applyNumberFormat="1" applyBorder="1" applyProtection="1">
      <protection locked="0"/>
    </xf>
    <xf numFmtId="0" fontId="7" fillId="0" borderId="8" xfId="0" applyFont="1" applyBorder="1" applyProtection="1">
      <protection locked="0"/>
    </xf>
    <xf numFmtId="0" fontId="0" fillId="0" borderId="10" xfId="0" applyBorder="1" applyProtection="1">
      <protection locked="0"/>
    </xf>
    <xf numFmtId="166" fontId="0" fillId="0" borderId="8" xfId="0" applyNumberFormat="1" applyBorder="1" applyProtection="1">
      <protection locked="0"/>
    </xf>
    <xf numFmtId="0" fontId="0" fillId="0" borderId="13" xfId="0" applyBorder="1" applyProtection="1">
      <protection locked="0"/>
    </xf>
    <xf numFmtId="0" fontId="7" fillId="0" borderId="13" xfId="0" applyFont="1" applyBorder="1" applyProtection="1">
      <protection locked="0"/>
    </xf>
    <xf numFmtId="168" fontId="0" fillId="0" borderId="13" xfId="0" applyNumberFormat="1" applyBorder="1" applyProtection="1">
      <protection locked="0"/>
    </xf>
    <xf numFmtId="2" fontId="0" fillId="0" borderId="13" xfId="0" applyNumberFormat="1" applyBorder="1" applyProtection="1">
      <protection locked="0"/>
    </xf>
    <xf numFmtId="166" fontId="0" fillId="0" borderId="13" xfId="0" applyNumberFormat="1" applyBorder="1" applyProtection="1">
      <protection locked="0"/>
    </xf>
    <xf numFmtId="0" fontId="0" fillId="0" borderId="14" xfId="0" applyBorder="1" applyProtection="1">
      <protection locked="0"/>
    </xf>
    <xf numFmtId="39" fontId="0" fillId="0" borderId="21" xfId="0" applyNumberFormat="1" applyBorder="1" applyAlignment="1" applyProtection="1">
      <protection locked="0"/>
    </xf>
    <xf numFmtId="39" fontId="0" fillId="0" borderId="5" xfId="0" applyNumberFormat="1" applyBorder="1" applyAlignment="1" applyProtection="1">
      <protection locked="0"/>
    </xf>
    <xf numFmtId="39" fontId="0" fillId="0" borderId="12" xfId="0" applyNumberFormat="1" applyBorder="1" applyAlignment="1" applyProtection="1">
      <protection locked="0"/>
    </xf>
    <xf numFmtId="39" fontId="0" fillId="0" borderId="8" xfId="0" applyNumberFormat="1" applyBorder="1" applyAlignment="1" applyProtection="1">
      <protection locked="0"/>
    </xf>
    <xf numFmtId="37" fontId="0" fillId="0" borderId="19" xfId="0" applyNumberFormat="1" applyBorder="1" applyAlignment="1" applyProtection="1">
      <protection locked="0"/>
    </xf>
    <xf numFmtId="37" fontId="0" fillId="0" borderId="13" xfId="0" applyNumberFormat="1" applyBorder="1" applyAlignment="1" applyProtection="1">
      <protection locked="0"/>
    </xf>
    <xf numFmtId="0" fontId="2" fillId="0" borderId="0" xfId="0" applyFont="1" applyAlignment="1" applyProtection="1">
      <alignment horizontal="centerContinuous"/>
    </xf>
    <xf numFmtId="0" fontId="0" fillId="0" borderId="0" xfId="0" applyAlignment="1" applyProtection="1">
      <alignment horizontal="centerContinuous"/>
    </xf>
    <xf numFmtId="0" fontId="0" fillId="0" borderId="0" xfId="0" applyProtection="1"/>
    <xf numFmtId="0" fontId="2" fillId="0" borderId="20" xfId="0" applyFont="1" applyBorder="1" applyAlignment="1" applyProtection="1">
      <alignment horizontal="center" wrapText="1"/>
    </xf>
    <xf numFmtId="0" fontId="2" fillId="0" borderId="20" xfId="0" applyFont="1" applyBorder="1" applyAlignment="1" applyProtection="1">
      <alignment wrapText="1"/>
    </xf>
    <xf numFmtId="39" fontId="2" fillId="0" borderId="3" xfId="0" applyNumberFormat="1" applyFont="1" applyBorder="1" applyProtection="1"/>
    <xf numFmtId="39" fontId="2" fillId="0" borderId="4" xfId="0" applyNumberFormat="1" applyFont="1" applyBorder="1" applyProtection="1"/>
    <xf numFmtId="0" fontId="0" fillId="0" borderId="0" xfId="0" applyAlignment="1" applyProtection="1">
      <alignment wrapText="1"/>
    </xf>
    <xf numFmtId="0" fontId="12" fillId="0" borderId="0" xfId="0" applyFont="1" applyProtection="1"/>
    <xf numFmtId="0" fontId="2" fillId="0" borderId="0" xfId="0" applyFont="1" applyAlignment="1" applyProtection="1">
      <alignment horizontal="center" wrapText="1"/>
    </xf>
    <xf numFmtId="165" fontId="2" fillId="0" borderId="0" xfId="0" applyNumberFormat="1" applyFont="1" applyAlignment="1" applyProtection="1">
      <alignment horizontal="center" wrapText="1"/>
    </xf>
    <xf numFmtId="0" fontId="2" fillId="0" borderId="0" xfId="0" applyFont="1" applyProtection="1"/>
    <xf numFmtId="0" fontId="0" fillId="0" borderId="5" xfId="0" applyBorder="1" applyAlignment="1" applyProtection="1">
      <alignment horizontal="center"/>
    </xf>
    <xf numFmtId="0" fontId="0" fillId="0" borderId="5" xfId="0" applyBorder="1" applyAlignment="1" applyProtection="1">
      <alignment wrapText="1"/>
    </xf>
    <xf numFmtId="170" fontId="0" fillId="0" borderId="6" xfId="0" applyNumberFormat="1" applyBorder="1" applyProtection="1"/>
    <xf numFmtId="167" fontId="0" fillId="0" borderId="15" xfId="0" applyNumberFormat="1" applyBorder="1" applyProtection="1"/>
    <xf numFmtId="3" fontId="4" fillId="0" borderId="7" xfId="0" applyNumberFormat="1" applyFont="1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0" fillId="0" borderId="8" xfId="0" applyBorder="1" applyAlignment="1" applyProtection="1">
      <alignment wrapText="1"/>
    </xf>
    <xf numFmtId="170" fontId="0" fillId="0" borderId="9" xfId="0" applyNumberFormat="1" applyBorder="1" applyProtection="1"/>
    <xf numFmtId="167" fontId="0" fillId="0" borderId="16" xfId="0" applyNumberFormat="1" applyBorder="1" applyProtection="1"/>
    <xf numFmtId="3" fontId="4" fillId="0" borderId="10" xfId="0" applyNumberFormat="1" applyFont="1" applyBorder="1" applyAlignment="1" applyProtection="1">
      <alignment horizontal="center"/>
    </xf>
    <xf numFmtId="0" fontId="7" fillId="0" borderId="8" xfId="0" applyFont="1" applyBorder="1" applyAlignment="1" applyProtection="1">
      <alignment wrapText="1"/>
    </xf>
    <xf numFmtId="0" fontId="9" fillId="0" borderId="0" xfId="0" applyFont="1" applyProtection="1"/>
    <xf numFmtId="0" fontId="10" fillId="0" borderId="0" xfId="0" applyFont="1" applyProtection="1"/>
    <xf numFmtId="0" fontId="2" fillId="0" borderId="0" xfId="0" applyFont="1" applyAlignment="1" applyProtection="1">
      <alignment horizontal="right" wrapText="1"/>
    </xf>
    <xf numFmtId="0" fontId="2" fillId="0" borderId="0" xfId="0" applyFont="1" applyAlignment="1" applyProtection="1">
      <alignment horizontal="right"/>
    </xf>
    <xf numFmtId="0" fontId="11" fillId="0" borderId="0" xfId="0" applyFont="1" applyProtection="1"/>
    <xf numFmtId="0" fontId="1" fillId="0" borderId="0" xfId="0" applyFont="1" applyProtection="1"/>
    <xf numFmtId="165" fontId="2" fillId="0" borderId="0" xfId="0" applyNumberFormat="1" applyFont="1" applyAlignment="1" applyProtection="1">
      <alignment horizontal="right"/>
    </xf>
    <xf numFmtId="0" fontId="2" fillId="0" borderId="22" xfId="0" applyFont="1" applyBorder="1" applyAlignment="1" applyProtection="1">
      <alignment horizontal="center" wrapText="1"/>
    </xf>
    <xf numFmtId="0" fontId="2" fillId="0" borderId="0" xfId="0" applyFont="1" applyAlignment="1" applyProtection="1">
      <alignment wrapText="1"/>
    </xf>
    <xf numFmtId="168" fontId="0" fillId="0" borderId="5" xfId="0" applyNumberFormat="1" applyBorder="1" applyProtection="1"/>
    <xf numFmtId="168" fontId="0" fillId="0" borderId="8" xfId="0" applyNumberFormat="1" applyBorder="1" applyProtection="1"/>
    <xf numFmtId="168" fontId="0" fillId="0" borderId="13" xfId="0" applyNumberFormat="1" applyBorder="1" applyProtection="1"/>
    <xf numFmtId="0" fontId="2" fillId="0" borderId="11" xfId="0" applyFont="1" applyBorder="1" applyProtection="1"/>
    <xf numFmtId="0" fontId="2" fillId="0" borderId="3" xfId="0" applyFont="1" applyBorder="1" applyProtection="1"/>
    <xf numFmtId="0" fontId="2" fillId="0" borderId="4" xfId="0" applyFont="1" applyBorder="1" applyProtection="1"/>
    <xf numFmtId="1" fontId="1" fillId="0" borderId="5" xfId="0" applyNumberFormat="1" applyFont="1" applyBorder="1" applyProtection="1">
      <protection locked="0"/>
    </xf>
    <xf numFmtId="1" fontId="1" fillId="0" borderId="8" xfId="0" applyNumberFormat="1" applyFont="1" applyBorder="1" applyProtection="1">
      <protection locked="0"/>
    </xf>
    <xf numFmtId="168" fontId="1" fillId="0" borderId="8" xfId="0" applyNumberFormat="1" applyFont="1" applyBorder="1" applyProtection="1">
      <protection locked="0"/>
    </xf>
    <xf numFmtId="0" fontId="1" fillId="0" borderId="10" xfId="0" applyFont="1" applyBorder="1" applyProtection="1">
      <protection locked="0"/>
    </xf>
    <xf numFmtId="1" fontId="0" fillId="0" borderId="8" xfId="0" applyNumberFormat="1" applyBorder="1" applyProtection="1">
      <protection locked="0"/>
    </xf>
    <xf numFmtId="0" fontId="1" fillId="0" borderId="13" xfId="0" applyFont="1" applyBorder="1" applyProtection="1">
      <protection locked="0"/>
    </xf>
    <xf numFmtId="0" fontId="1" fillId="0" borderId="0" xfId="0" applyFont="1" applyAlignment="1" applyProtection="1">
      <alignment horizontal="centerContinuous"/>
    </xf>
    <xf numFmtId="0" fontId="7" fillId="0" borderId="13" xfId="0" applyFont="1" applyBorder="1" applyAlignment="1" applyProtection="1">
      <alignment wrapText="1"/>
    </xf>
    <xf numFmtId="170" fontId="0" fillId="0" borderId="23" xfId="0" applyNumberFormat="1" applyBorder="1" applyProtection="1"/>
    <xf numFmtId="167" fontId="0" fillId="0" borderId="24" xfId="0" applyNumberFormat="1" applyBorder="1" applyProtection="1"/>
    <xf numFmtId="3" fontId="4" fillId="0" borderId="14" xfId="0" applyNumberFormat="1" applyFont="1" applyBorder="1" applyAlignment="1" applyProtection="1">
      <alignment horizontal="center"/>
    </xf>
    <xf numFmtId="39" fontId="2" fillId="0" borderId="0" xfId="0" applyNumberFormat="1" applyFont="1" applyAlignment="1"/>
    <xf numFmtId="4" fontId="2" fillId="0" borderId="0" xfId="0" applyNumberFormat="1" applyFont="1"/>
    <xf numFmtId="3" fontId="5" fillId="0" borderId="0" xfId="0" applyNumberFormat="1" applyFont="1" applyAlignment="1">
      <alignment horizontal="center"/>
    </xf>
    <xf numFmtId="0" fontId="9" fillId="0" borderId="0" xfId="0" applyFont="1" applyAlignment="1" applyProtection="1">
      <alignment horizontal="left"/>
    </xf>
    <xf numFmtId="0" fontId="1" fillId="0" borderId="0" xfId="0" applyFont="1" applyAlignment="1" applyProtection="1">
      <alignment horizontal="right"/>
    </xf>
    <xf numFmtId="9" fontId="2" fillId="0" borderId="0" xfId="0" applyNumberFormat="1" applyFont="1" applyProtection="1"/>
    <xf numFmtId="0" fontId="9" fillId="0" borderId="0" xfId="0" applyFont="1" applyAlignment="1" applyProtection="1">
      <alignment horizontal="center"/>
    </xf>
    <xf numFmtId="0" fontId="9" fillId="0" borderId="0" xfId="0" applyFont="1" applyAlignment="1" applyProtection="1">
      <alignment horizontal="center" wrapText="1"/>
    </xf>
    <xf numFmtId="0" fontId="7" fillId="0" borderId="0" xfId="0" applyFont="1" applyProtection="1"/>
    <xf numFmtId="0" fontId="0" fillId="0" borderId="0" xfId="0" applyAlignment="1" applyProtection="1">
      <alignment horizontal="center"/>
    </xf>
    <xf numFmtId="166" fontId="0" fillId="0" borderId="0" xfId="0" applyNumberFormat="1" applyProtection="1"/>
    <xf numFmtId="169" fontId="0" fillId="0" borderId="0" xfId="0" applyNumberFormat="1" applyProtection="1"/>
    <xf numFmtId="0" fontId="1" fillId="0" borderId="0" xfId="0" applyFont="1" applyAlignment="1" applyProtection="1">
      <alignment wrapText="1"/>
    </xf>
    <xf numFmtId="39" fontId="2" fillId="0" borderId="25" xfId="0" applyNumberFormat="1" applyFont="1" applyBorder="1" applyProtection="1"/>
    <xf numFmtId="0" fontId="2" fillId="0" borderId="17" xfId="0" applyFont="1" applyBorder="1" applyAlignment="1" applyProtection="1">
      <alignment wrapText="1"/>
    </xf>
    <xf numFmtId="49" fontId="1" fillId="0" borderId="0" xfId="0" applyNumberFormat="1" applyFont="1" applyProtection="1"/>
    <xf numFmtId="171" fontId="0" fillId="0" borderId="0" xfId="0" applyNumberFormat="1" applyProtection="1"/>
    <xf numFmtId="37" fontId="0" fillId="0" borderId="8" xfId="0" applyNumberFormat="1" applyBorder="1" applyProtection="1">
      <protection locked="0"/>
    </xf>
    <xf numFmtId="1" fontId="10" fillId="0" borderId="0" xfId="0" applyNumberFormat="1" applyFont="1"/>
    <xf numFmtId="7" fontId="2" fillId="0" borderId="0" xfId="0" applyNumberFormat="1" applyFont="1"/>
    <xf numFmtId="39" fontId="2" fillId="0" borderId="0" xfId="0" applyNumberFormat="1" applyFont="1" applyBorder="1"/>
    <xf numFmtId="165" fontId="10" fillId="0" borderId="0" xfId="0" applyNumberFormat="1" applyFont="1" applyProtection="1"/>
    <xf numFmtId="49" fontId="9" fillId="0" borderId="0" xfId="0" applyNumberFormat="1" applyFont="1" applyProtection="1"/>
    <xf numFmtId="0" fontId="6" fillId="0" borderId="0" xfId="0" applyFont="1" applyProtection="1"/>
    <xf numFmtId="164" fontId="9" fillId="0" borderId="0" xfId="0" applyNumberFormat="1" applyFont="1" applyProtection="1"/>
    <xf numFmtId="7" fontId="9" fillId="0" borderId="0" xfId="0" applyNumberFormat="1" applyFont="1" applyProtection="1"/>
    <xf numFmtId="4" fontId="2" fillId="0" borderId="17" xfId="0" applyNumberFormat="1" applyFont="1" applyBorder="1" applyAlignment="1" applyProtection="1">
      <alignment wrapText="1"/>
    </xf>
    <xf numFmtId="0" fontId="4" fillId="0" borderId="0" xfId="0" applyFont="1" applyProtection="1"/>
    <xf numFmtId="5" fontId="2" fillId="0" borderId="17" xfId="0" applyNumberFormat="1" applyFont="1" applyBorder="1" applyProtection="1"/>
    <xf numFmtId="165" fontId="12" fillId="0" borderId="0" xfId="0" applyNumberFormat="1" applyFont="1" applyProtection="1"/>
    <xf numFmtId="3" fontId="4" fillId="0" borderId="0" xfId="0" applyNumberFormat="1" applyFont="1" applyAlignment="1" applyProtection="1">
      <alignment horizontal="center"/>
    </xf>
    <xf numFmtId="0" fontId="0" fillId="0" borderId="0" xfId="0" applyBorder="1" applyProtection="1"/>
    <xf numFmtId="39" fontId="0" fillId="0" borderId="0" xfId="0" applyNumberFormat="1" applyProtection="1"/>
    <xf numFmtId="1" fontId="1" fillId="0" borderId="0" xfId="0" applyNumberFormat="1" applyFont="1" applyBorder="1" applyProtection="1"/>
    <xf numFmtId="0" fontId="1" fillId="0" borderId="0" xfId="0" applyFont="1" applyBorder="1" applyProtection="1"/>
    <xf numFmtId="2" fontId="0" fillId="0" borderId="0" xfId="0" applyNumberFormat="1" applyBorder="1" applyProtection="1"/>
    <xf numFmtId="166" fontId="0" fillId="0" borderId="0" xfId="0" applyNumberFormat="1" applyBorder="1" applyProtection="1"/>
    <xf numFmtId="1" fontId="0" fillId="0" borderId="0" xfId="0" applyNumberFormat="1" applyBorder="1" applyProtection="1"/>
    <xf numFmtId="0" fontId="0" fillId="0" borderId="18" xfId="0" applyBorder="1" applyProtection="1"/>
    <xf numFmtId="2" fontId="0" fillId="0" borderId="0" xfId="0" applyNumberFormat="1" applyProtection="1"/>
    <xf numFmtId="0" fontId="0" fillId="0" borderId="8" xfId="0" applyBorder="1" applyProtection="1"/>
    <xf numFmtId="4" fontId="0" fillId="0" borderId="0" xfId="0" applyNumberFormat="1" applyProtection="1"/>
    <xf numFmtId="165" fontId="0" fillId="0" borderId="0" xfId="0" applyNumberFormat="1" applyProtection="1"/>
    <xf numFmtId="39" fontId="4" fillId="0" borderId="0" xfId="0" applyNumberFormat="1" applyFont="1" applyProtection="1"/>
    <xf numFmtId="49" fontId="0" fillId="0" borderId="5" xfId="0" applyNumberFormat="1" applyBorder="1" applyProtection="1">
      <protection locked="0"/>
    </xf>
    <xf numFmtId="49" fontId="0" fillId="0" borderId="8" xfId="0" applyNumberFormat="1" applyBorder="1" applyProtection="1">
      <protection locked="0"/>
    </xf>
    <xf numFmtId="49" fontId="1" fillId="0" borderId="8" xfId="0" applyNumberFormat="1" applyFont="1" applyBorder="1" applyProtection="1">
      <protection locked="0"/>
    </xf>
    <xf numFmtId="1" fontId="9" fillId="0" borderId="0" xfId="0" applyNumberFormat="1" applyFont="1"/>
  </cellXfs>
  <cellStyles count="14">
    <cellStyle name="Comma" xfId="1" builtinId="3"/>
    <cellStyle name="Comma 2" xfId="2" xr:uid="{00000000-0005-0000-0000-000001000000}"/>
    <cellStyle name="Currency 2" xfId="3" xr:uid="{00000000-0005-0000-0000-000002000000}"/>
    <cellStyle name="Normal" xfId="0" builtinId="0"/>
    <cellStyle name="Normal 10" xfId="4" xr:uid="{00000000-0005-0000-0000-000004000000}"/>
    <cellStyle name="Normal 11 2" xfId="5" xr:uid="{00000000-0005-0000-0000-000005000000}"/>
    <cellStyle name="Normal 2 2" xfId="6" xr:uid="{00000000-0005-0000-0000-000006000000}"/>
    <cellStyle name="Normal 3" xfId="7" xr:uid="{00000000-0005-0000-0000-000007000000}"/>
    <cellStyle name="Normal 4" xfId="8" xr:uid="{00000000-0005-0000-0000-000008000000}"/>
    <cellStyle name="Normal 5" xfId="9" xr:uid="{00000000-0005-0000-0000-000009000000}"/>
    <cellStyle name="Normal 6" xfId="10" xr:uid="{00000000-0005-0000-0000-00000A000000}"/>
    <cellStyle name="Normal 7" xfId="11" xr:uid="{00000000-0005-0000-0000-00000B000000}"/>
    <cellStyle name="Normal 8" xfId="12" xr:uid="{00000000-0005-0000-0000-00000C000000}"/>
    <cellStyle name="Normal 9" xfId="13" xr:uid="{00000000-0005-0000-0000-00000D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9525</xdr:colOff>
          <xdr:row>4</xdr:row>
          <xdr:rowOff>0</xdr:rowOff>
        </xdr:from>
        <xdr:to>
          <xdr:col>4</xdr:col>
          <xdr:colOff>19050</xdr:colOff>
          <xdr:row>5</xdr:row>
          <xdr:rowOff>0</xdr:rowOff>
        </xdr:to>
        <xdr:sp macro="" textlink="">
          <xdr:nvSpPr>
            <xdr:cNvPr id="1030" name="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E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Here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9525</xdr:colOff>
          <xdr:row>4</xdr:row>
          <xdr:rowOff>0</xdr:rowOff>
        </xdr:from>
        <xdr:to>
          <xdr:col>4</xdr:col>
          <xdr:colOff>19050</xdr:colOff>
          <xdr:row>5</xdr:row>
          <xdr:rowOff>0</xdr:rowOff>
        </xdr:to>
        <xdr:sp macro="" textlink="">
          <xdr:nvSpPr>
            <xdr:cNvPr id="18433" name="Button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F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Here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obin/Dropbox/LiCON%20Rating%20Worksheets/MRFs/FY%2017/MRFs%20December%202016/Battle%20Mountain%20MRF%20FY17%20123116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obin/Dropbox/LiCON%20Rating%20Worksheets/New%20MRF%20Development/Hospital%20MRFS/William%20Bee%20for%20Comp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y"/>
      <sheetName val="August"/>
      <sheetName val="September"/>
      <sheetName val="October"/>
      <sheetName val="November"/>
      <sheetName val="December"/>
      <sheetName val="January"/>
      <sheetName val="February"/>
      <sheetName val="March"/>
      <sheetName val="April"/>
      <sheetName val="May"/>
      <sheetName val="June"/>
      <sheetName val="Cumulative"/>
      <sheetName val="Hospital Input Page"/>
      <sheetName val="Physician Visits Input Page"/>
      <sheetName val="Physician Minutes Input Page"/>
      <sheetName val="Hospital Relative Exp"/>
      <sheetName val="Physician Typ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9">
          <cell r="K9">
            <v>0.25</v>
          </cell>
        </row>
        <row r="10">
          <cell r="K10">
            <v>0</v>
          </cell>
        </row>
        <row r="11">
          <cell r="K11">
            <v>17.09</v>
          </cell>
        </row>
        <row r="12">
          <cell r="K12">
            <v>0</v>
          </cell>
        </row>
        <row r="13">
          <cell r="K13">
            <v>0</v>
          </cell>
        </row>
        <row r="14">
          <cell r="K14">
            <v>0</v>
          </cell>
        </row>
        <row r="15">
          <cell r="K15">
            <v>2</v>
          </cell>
        </row>
        <row r="16">
          <cell r="K16">
            <v>218</v>
          </cell>
        </row>
        <row r="17">
          <cell r="K17">
            <v>1919</v>
          </cell>
        </row>
        <row r="18">
          <cell r="K18">
            <v>0</v>
          </cell>
        </row>
        <row r="19">
          <cell r="K19">
            <v>0</v>
          </cell>
        </row>
        <row r="20">
          <cell r="K20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0</v>
          </cell>
        </row>
        <row r="25">
          <cell r="K25">
            <v>1</v>
          </cell>
        </row>
      </sheetData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y"/>
      <sheetName val="August"/>
      <sheetName val="September"/>
      <sheetName val="October"/>
      <sheetName val="November"/>
      <sheetName val="December"/>
      <sheetName val="January"/>
      <sheetName val="February"/>
      <sheetName val="March"/>
      <sheetName val="April"/>
      <sheetName val="May"/>
      <sheetName val="June"/>
      <sheetName val="Cumulative"/>
      <sheetName val="Hospital Input Page"/>
      <sheetName val="Physician Visits Input Page"/>
      <sheetName val="Physician Minutes Input Page"/>
      <sheetName val="Hospital Relative Exp"/>
      <sheetName val="Physician Typ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9">
          <cell r="T9">
            <v>1</v>
          </cell>
        </row>
      </sheetData>
      <sheetData sheetId="16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129"/>
  <sheetViews>
    <sheetView zoomScaleNormal="100" workbookViewId="0">
      <selection activeCell="E19" sqref="E19"/>
    </sheetView>
  </sheetViews>
  <sheetFormatPr defaultRowHeight="12.75" x14ac:dyDescent="0.2"/>
  <cols>
    <col min="1" max="1" width="3.5703125" customWidth="1"/>
    <col min="2" max="2" width="52.42578125" customWidth="1"/>
    <col min="3" max="3" width="11.7109375" customWidth="1"/>
    <col min="4" max="4" width="10.42578125" style="8" customWidth="1"/>
    <col min="5" max="5" width="10.85546875" style="6" customWidth="1"/>
    <col min="6" max="6" width="14.42578125" style="10" customWidth="1"/>
    <col min="7" max="7" width="6.5703125" customWidth="1"/>
    <col min="8" max="8" width="12.28515625" customWidth="1"/>
    <col min="9" max="9" width="10" customWidth="1"/>
    <col min="11" max="11" width="12.28515625" customWidth="1"/>
    <col min="16" max="16" width="9.5703125" bestFit="1" customWidth="1"/>
  </cols>
  <sheetData>
    <row r="1" spans="1:7" ht="15.75" x14ac:dyDescent="0.25">
      <c r="A1" s="18" t="str">
        <f>'Hospital Input Page'!A1</f>
        <v>Grover Dils</v>
      </c>
      <c r="B1" s="19"/>
      <c r="C1" s="18" t="s">
        <v>126</v>
      </c>
      <c r="D1" s="196">
        <f>'Hospital Input Page'!F6</f>
        <v>2019</v>
      </c>
      <c r="E1" s="19"/>
    </row>
    <row r="2" spans="1:7" ht="15.75" x14ac:dyDescent="0.25">
      <c r="A2" s="18" t="str">
        <f>'Hospital Input Page'!A2</f>
        <v>LiCON MONTHLY REPORT FORM (MRF)</v>
      </c>
      <c r="B2" s="19"/>
      <c r="C2" s="19"/>
      <c r="D2" s="20"/>
      <c r="E2" s="19"/>
    </row>
    <row r="3" spans="1:7" ht="15.75" customHeight="1" x14ac:dyDescent="0.25">
      <c r="A3" s="18"/>
      <c r="B3" s="21"/>
      <c r="D3" s="20"/>
      <c r="E3" s="22"/>
    </row>
    <row r="5" spans="1:7" ht="15.75" x14ac:dyDescent="0.25">
      <c r="B5" s="21" t="s">
        <v>24</v>
      </c>
      <c r="C5" s="168">
        <f>F39</f>
        <v>4184.602709519655</v>
      </c>
      <c r="E5"/>
    </row>
    <row r="6" spans="1:7" x14ac:dyDescent="0.2">
      <c r="C6" s="2"/>
    </row>
    <row r="7" spans="1:7" x14ac:dyDescent="0.2">
      <c r="B7" s="58" t="str">
        <f>'Hospital Input Page'!$B$5</f>
        <v>Deductible</v>
      </c>
      <c r="C7" s="58">
        <f>'Hospital Input Page'!$C$5</f>
        <v>10000</v>
      </c>
    </row>
    <row r="8" spans="1:7" x14ac:dyDescent="0.2">
      <c r="B8" s="1"/>
      <c r="C8" s="3"/>
    </row>
    <row r="9" spans="1:7" ht="13.5" thickBot="1" x14ac:dyDescent="0.25">
      <c r="A9" s="4"/>
      <c r="B9" s="23" t="s">
        <v>0</v>
      </c>
      <c r="C9" s="23" t="s">
        <v>1</v>
      </c>
      <c r="D9" s="24" t="s">
        <v>27</v>
      </c>
      <c r="E9" s="25"/>
      <c r="F9" s="49" t="s">
        <v>111</v>
      </c>
      <c r="G9" s="4"/>
    </row>
    <row r="10" spans="1:7" ht="12.95" customHeight="1" x14ac:dyDescent="0.2">
      <c r="A10" s="29">
        <v>1</v>
      </c>
      <c r="B10" s="113" t="s">
        <v>2</v>
      </c>
      <c r="C10" s="5">
        <f>INDEX(Hospital_Exposure_July,MATCH(July!B10,Hospital_Exposure_Name,0))</f>
        <v>0.52</v>
      </c>
      <c r="D10" s="17">
        <f>INDEX(Hospital_Exposure_Rate,MATCH(July!B10,Hospital_Exposure_Name,0))</f>
        <v>527.69012023747894</v>
      </c>
      <c r="E10" s="28" t="s">
        <v>21</v>
      </c>
      <c r="F10" s="50">
        <f t="shared" ref="F10:F15" si="0">C10*D10</f>
        <v>274.39886252348907</v>
      </c>
      <c r="G10" s="42"/>
    </row>
    <row r="11" spans="1:7" ht="12.95" customHeight="1" x14ac:dyDescent="0.2">
      <c r="A11" s="29">
        <f>A10+1</f>
        <v>2</v>
      </c>
      <c r="B11" s="118" t="s">
        <v>3</v>
      </c>
      <c r="C11" s="5">
        <f>INDEX(Hospital_Exposure_July,MATCH(July!B11,Hospital_Exposure_Name,0))</f>
        <v>0</v>
      </c>
      <c r="D11" s="17">
        <f>INDEX(Hospital_Exposure_Rate,MATCH(July!B11,Hospital_Exposure_Name,0))</f>
        <v>527.69012023747894</v>
      </c>
      <c r="E11" s="28" t="s">
        <v>21</v>
      </c>
      <c r="F11" s="50">
        <f t="shared" si="0"/>
        <v>0</v>
      </c>
      <c r="G11" s="42"/>
    </row>
    <row r="12" spans="1:7" ht="12.95" customHeight="1" x14ac:dyDescent="0.2">
      <c r="A12" s="29">
        <f t="shared" ref="A12:A35" si="1">A11+1</f>
        <v>3</v>
      </c>
      <c r="B12" s="118" t="s">
        <v>4</v>
      </c>
      <c r="C12" s="5">
        <f>INDEX(Hospital_Exposure_July,MATCH(July!B12,Hospital_Exposure_Name,0))</f>
        <v>15.67</v>
      </c>
      <c r="D12" s="17">
        <f>INDEX(Hospital_Exposure_Rate,MATCH(July!B12,Hospital_Exposure_Name,0))</f>
        <v>63.322814428497473</v>
      </c>
      <c r="E12" s="28" t="s">
        <v>21</v>
      </c>
      <c r="F12" s="50">
        <f t="shared" si="0"/>
        <v>992.2685020945554</v>
      </c>
      <c r="G12" s="42"/>
    </row>
    <row r="13" spans="1:7" ht="12.95" customHeight="1" x14ac:dyDescent="0.2">
      <c r="A13" s="29">
        <f t="shared" si="1"/>
        <v>4</v>
      </c>
      <c r="B13" s="118" t="s">
        <v>5</v>
      </c>
      <c r="C13" s="5">
        <f>INDEX(Hospital_Exposure_July,MATCH(July!B13,Hospital_Exposure_Name,0))</f>
        <v>0</v>
      </c>
      <c r="D13" s="17">
        <f>INDEX(Hospital_Exposure_Rate,MATCH(July!B13,Hospital_Exposure_Name,0))</f>
        <v>369.38308416623522</v>
      </c>
      <c r="E13" s="28" t="s">
        <v>21</v>
      </c>
      <c r="F13" s="50">
        <f t="shared" si="0"/>
        <v>0</v>
      </c>
      <c r="G13" s="42"/>
    </row>
    <row r="14" spans="1:7" ht="12.95" customHeight="1" x14ac:dyDescent="0.2">
      <c r="A14" s="29">
        <f t="shared" si="1"/>
        <v>5</v>
      </c>
      <c r="B14" s="118" t="s">
        <v>6</v>
      </c>
      <c r="C14" s="5">
        <f>INDEX(Hospital_Exposure_July,MATCH(July!B14,Hospital_Exposure_Name,0))</f>
        <v>0</v>
      </c>
      <c r="D14" s="17">
        <f>INDEX(Hospital_Exposure_Rate,MATCH(July!B14,Hospital_Exposure_Name,0))</f>
        <v>237.988244227103</v>
      </c>
      <c r="E14" s="28" t="s">
        <v>21</v>
      </c>
      <c r="F14" s="50">
        <f t="shared" si="0"/>
        <v>0</v>
      </c>
      <c r="G14" s="42"/>
    </row>
    <row r="15" spans="1:7" ht="12.95" customHeight="1" x14ac:dyDescent="0.2">
      <c r="A15" s="29">
        <f t="shared" si="1"/>
        <v>6</v>
      </c>
      <c r="B15" s="118" t="s">
        <v>7</v>
      </c>
      <c r="C15" s="5">
        <f>INDEX(Hospital_Exposure_July,MATCH(July!B15,Hospital_Exposure_Name,0))</f>
        <v>0</v>
      </c>
      <c r="D15" s="17">
        <f>INDEX(Hospital_Exposure_Rate,MATCH(July!B15,Hospital_Exposure_Name,0))</f>
        <v>184.69154208311761</v>
      </c>
      <c r="E15" s="28" t="s">
        <v>21</v>
      </c>
      <c r="F15" s="50">
        <f t="shared" si="0"/>
        <v>0</v>
      </c>
      <c r="G15" s="42"/>
    </row>
    <row r="16" spans="1:7" ht="12.95" customHeight="1" x14ac:dyDescent="0.2">
      <c r="A16" s="29">
        <f t="shared" si="1"/>
        <v>7</v>
      </c>
      <c r="B16" s="122" t="s">
        <v>114</v>
      </c>
      <c r="C16" s="5">
        <f>INDEX(Hospital_Exposure_July,MATCH(July!B16,Hospital_Exposure_Name,0))</f>
        <v>88</v>
      </c>
      <c r="D16" s="17">
        <f>INDEX(Hospital_Exposure_Rate,MATCH(July!B16,Hospital_Exposure_Name,0))</f>
        <v>89.707320440371419</v>
      </c>
      <c r="E16" s="28" t="s">
        <v>22</v>
      </c>
      <c r="F16" s="50">
        <f>C16*D16/100</f>
        <v>78.942441987526848</v>
      </c>
      <c r="G16" s="42"/>
    </row>
    <row r="17" spans="1:9" ht="12.95" customHeight="1" x14ac:dyDescent="0.2">
      <c r="A17" s="29">
        <f t="shared" si="1"/>
        <v>8</v>
      </c>
      <c r="B17" s="122" t="s">
        <v>115</v>
      </c>
      <c r="C17" s="5">
        <f>INDEX(Hospital_Exposure_July,MATCH(July!B17,Hospital_Exposure_Name,0))</f>
        <v>1246</v>
      </c>
      <c r="D17" s="17">
        <f>INDEX(Hospital_Exposure_Rate,MATCH(July!B17,Hospital_Exposure_Name,0))</f>
        <v>21.107604809499158</v>
      </c>
      <c r="E17" s="28" t="s">
        <v>22</v>
      </c>
      <c r="F17" s="50">
        <f>C17*D17/100</f>
        <v>263.00075592635949</v>
      </c>
      <c r="G17" s="42"/>
    </row>
    <row r="18" spans="1:9" ht="12.95" customHeight="1" x14ac:dyDescent="0.2">
      <c r="A18" s="29">
        <f t="shared" si="1"/>
        <v>9</v>
      </c>
      <c r="B18" s="122" t="s">
        <v>116</v>
      </c>
      <c r="C18" s="5">
        <f>INDEX(Hospital_Exposure_July,MATCH(July!B18,Hospital_Exposure_Name,0))</f>
        <v>0</v>
      </c>
      <c r="D18" s="17">
        <f>INDEX(Hospital_Exposure_Rate,MATCH(July!B18,Hospital_Exposure_Name,0))</f>
        <v>1.1609182645224538</v>
      </c>
      <c r="E18" s="28" t="s">
        <v>22</v>
      </c>
      <c r="F18" s="50">
        <f>C18*D18/100</f>
        <v>0</v>
      </c>
      <c r="G18" s="42"/>
    </row>
    <row r="19" spans="1:9" ht="12.95" customHeight="1" x14ac:dyDescent="0.2">
      <c r="A19" s="29">
        <f t="shared" si="1"/>
        <v>10</v>
      </c>
      <c r="B19" s="118" t="s">
        <v>8</v>
      </c>
      <c r="C19" s="5">
        <f>INDEX(Hospital_Exposure_July,MATCH(July!B19,Hospital_Exposure_Name,0))</f>
        <v>0</v>
      </c>
      <c r="D19" s="17">
        <f>INDEX(Hospital_Exposure_Rate,MATCH(July!B19,Hospital_Exposure_Name,0))</f>
        <v>26.384506011873949</v>
      </c>
      <c r="E19" s="28" t="s">
        <v>23</v>
      </c>
      <c r="F19" s="50">
        <f>C19*D19</f>
        <v>0</v>
      </c>
      <c r="G19" s="42"/>
    </row>
    <row r="20" spans="1:9" ht="12.95" customHeight="1" x14ac:dyDescent="0.2">
      <c r="A20" s="29">
        <f t="shared" si="1"/>
        <v>11</v>
      </c>
      <c r="B20" s="118" t="s">
        <v>9</v>
      </c>
      <c r="C20" s="5">
        <f>INDEX(Hospital_Exposure_July,MATCH(July!B20,Hospital_Exposure_Name,0))</f>
        <v>0</v>
      </c>
      <c r="D20" s="17">
        <f>INDEX(Hospital_Exposure_Rate,MATCH(July!B20,Hospital_Exposure_Name,0))</f>
        <v>10.553802404749579</v>
      </c>
      <c r="E20" s="28" t="s">
        <v>23</v>
      </c>
      <c r="F20" s="50">
        <f>C20*D20</f>
        <v>0</v>
      </c>
      <c r="G20" s="42"/>
    </row>
    <row r="21" spans="1:9" ht="12.95" customHeight="1" x14ac:dyDescent="0.2">
      <c r="A21" s="29">
        <f t="shared" si="1"/>
        <v>12</v>
      </c>
      <c r="B21" s="118" t="s">
        <v>10</v>
      </c>
      <c r="C21" s="5">
        <f>INDEX(Hospital_Exposure_July,MATCH(July!B21,Hospital_Exposure_Name,0))</f>
        <v>0</v>
      </c>
      <c r="D21" s="17">
        <f>INDEX(Hospital_Exposure_Rate,MATCH(July!B21,Hospital_Exposure_Name,0))</f>
        <v>79.153518035621843</v>
      </c>
      <c r="E21" s="28" t="s">
        <v>23</v>
      </c>
      <c r="F21" s="50">
        <f t="shared" ref="F21:F23" si="2">C21*D21</f>
        <v>0</v>
      </c>
      <c r="G21" s="42"/>
    </row>
    <row r="22" spans="1:9" ht="12.95" customHeight="1" x14ac:dyDescent="0.2">
      <c r="A22" s="29">
        <f t="shared" si="1"/>
        <v>13</v>
      </c>
      <c r="B22" s="118" t="s">
        <v>11</v>
      </c>
      <c r="C22" s="5">
        <f>INDEX(Hospital_Exposure_July,MATCH(July!B22,Hospital_Exposure_Name,0))</f>
        <v>0</v>
      </c>
      <c r="D22" s="17">
        <f>INDEX(Hospital_Exposure_Rate,MATCH(July!B22,Hospital_Exposure_Name,0))</f>
        <v>79.153518035621843</v>
      </c>
      <c r="E22" s="28" t="s">
        <v>23</v>
      </c>
      <c r="F22" s="50">
        <f t="shared" si="2"/>
        <v>0</v>
      </c>
      <c r="G22" s="42"/>
    </row>
    <row r="23" spans="1:9" ht="12.95" customHeight="1" x14ac:dyDescent="0.2">
      <c r="A23" s="29">
        <f t="shared" si="1"/>
        <v>14</v>
      </c>
      <c r="B23" s="122" t="s">
        <v>117</v>
      </c>
      <c r="C23" s="5">
        <f>INDEX(Hospital_Exposure_July,MATCH(July!B23,Hospital_Exposure_Name,0))</f>
        <v>0</v>
      </c>
      <c r="D23" s="17">
        <f>INDEX(Hospital_Exposure_Rate,MATCH(July!B23,Hospital_Exposure_Name,0))</f>
        <v>341.38512486587695</v>
      </c>
      <c r="E23" s="28" t="s">
        <v>23</v>
      </c>
      <c r="F23" s="50">
        <f t="shared" si="2"/>
        <v>0</v>
      </c>
      <c r="G23" s="42"/>
    </row>
    <row r="24" spans="1:9" ht="12.95" customHeight="1" x14ac:dyDescent="0.2">
      <c r="A24" s="29">
        <f t="shared" si="1"/>
        <v>15</v>
      </c>
      <c r="B24" s="74" t="s">
        <v>136</v>
      </c>
      <c r="C24" s="5">
        <f>INDEX($C$46:$C$112,MATCH(B24,$B$46:$B$112,0))</f>
        <v>88</v>
      </c>
      <c r="D24" s="5">
        <f>INDEX($E$46:$E$112,MATCH(B24,$B$46:$B$112,0))</f>
        <v>1727.2161200254454</v>
      </c>
      <c r="E24" s="28" t="s">
        <v>22</v>
      </c>
      <c r="F24" s="50">
        <f>SUMIF(B46:B112,B24,F46:F112)+SUMIF(B46:B112,B54,K46:K112)</f>
        <v>1520.1743958727848</v>
      </c>
      <c r="G24" s="42"/>
    </row>
    <row r="25" spans="1:9" ht="12.95" customHeight="1" x14ac:dyDescent="0.2">
      <c r="A25" s="29">
        <f t="shared" si="1"/>
        <v>16</v>
      </c>
      <c r="B25" s="4" t="s">
        <v>12</v>
      </c>
      <c r="C25" s="5">
        <f>SUMIF($A$46:$A$112, 1,$D$46:$D$112)</f>
        <v>0</v>
      </c>
      <c r="D25" s="5">
        <f>IFERROR(F25/C25,0)</f>
        <v>0</v>
      </c>
      <c r="E25" s="28" t="s">
        <v>23</v>
      </c>
      <c r="F25" s="51">
        <f>SUMIF($A$46:$A$112, 1,$F$46:$F$112) + SUMIF($A$46:$A$112, 1,$K$46:$K$112)</f>
        <v>0</v>
      </c>
      <c r="H25" s="76"/>
      <c r="I25" s="76"/>
    </row>
    <row r="26" spans="1:9" ht="12.95" customHeight="1" x14ac:dyDescent="0.2">
      <c r="A26" s="29">
        <f t="shared" si="1"/>
        <v>17</v>
      </c>
      <c r="B26" s="4" t="s">
        <v>13</v>
      </c>
      <c r="C26" s="5">
        <f>SUMIF($A$46:$A$112, 2,$D$46:$D$112)</f>
        <v>0</v>
      </c>
      <c r="D26" s="5">
        <f t="shared" ref="D26:D35" si="3">IFERROR(F26/C26,0)</f>
        <v>0</v>
      </c>
      <c r="E26" s="28" t="s">
        <v>23</v>
      </c>
      <c r="F26" s="51">
        <f>SUMIF($A$46:$A$112, 2,$F$46:$F$112) + SUMIF($A$46:$A$112, 2,$K$46:$K$112)</f>
        <v>0</v>
      </c>
      <c r="H26" s="76"/>
      <c r="I26" s="76"/>
    </row>
    <row r="27" spans="1:9" ht="12.95" customHeight="1" x14ac:dyDescent="0.2">
      <c r="A27" s="29">
        <f t="shared" si="1"/>
        <v>18</v>
      </c>
      <c r="B27" s="4" t="s">
        <v>14</v>
      </c>
      <c r="C27" s="5">
        <f>SUMIF($A$46:$A$112, 3,$D$46:$D$112)</f>
        <v>0.28846708590549813</v>
      </c>
      <c r="D27" s="5">
        <f t="shared" si="3"/>
        <v>1951.6566327971129</v>
      </c>
      <c r="E27" s="28" t="s">
        <v>23</v>
      </c>
      <c r="F27" s="51">
        <f>SUMIF($A$46:$A$112, 3,$F$46:$F$112) + SUMIF($A$46:$A$112, 3,$K$46:$K$112)</f>
        <v>562.98870155112002</v>
      </c>
      <c r="H27" s="76"/>
      <c r="I27" s="76"/>
    </row>
    <row r="28" spans="1:9" ht="12.95" customHeight="1" x14ac:dyDescent="0.2">
      <c r="A28" s="29">
        <f t="shared" si="1"/>
        <v>19</v>
      </c>
      <c r="B28" s="4" t="s">
        <v>15</v>
      </c>
      <c r="C28" s="5">
        <f>SUMIF($A$46:$A$112, 4,$D$46:$D$112)</f>
        <v>0</v>
      </c>
      <c r="D28" s="5">
        <f t="shared" si="3"/>
        <v>0</v>
      </c>
      <c r="E28" s="28" t="s">
        <v>23</v>
      </c>
      <c r="F28" s="51">
        <f>SUMIF($A$46:$A$112, 4,$F$46:$F$112) + SUMIF($A$46:$A$112, 4,$K$46:$K$112)</f>
        <v>0</v>
      </c>
      <c r="H28" s="76"/>
      <c r="I28" s="76"/>
    </row>
    <row r="29" spans="1:9" ht="12.95" customHeight="1" x14ac:dyDescent="0.2">
      <c r="A29" s="29">
        <f t="shared" si="1"/>
        <v>20</v>
      </c>
      <c r="B29" s="4" t="s">
        <v>16</v>
      </c>
      <c r="C29" s="5">
        <f>SUMIF($A$46:$A$112, 5,$D$46:$D$112)</f>
        <v>0</v>
      </c>
      <c r="D29" s="5">
        <f t="shared" si="3"/>
        <v>0</v>
      </c>
      <c r="E29" s="28" t="s">
        <v>23</v>
      </c>
      <c r="F29" s="51">
        <f>SUMIF($A$46:$A$112, 5,$F$46:$F$112) + SUMIF($A$46:$A$112, 5,$K$46:$K$112)</f>
        <v>0</v>
      </c>
      <c r="H29" s="76"/>
      <c r="I29" s="76"/>
    </row>
    <row r="30" spans="1:9" ht="12.95" customHeight="1" x14ac:dyDescent="0.2">
      <c r="A30" s="29">
        <f t="shared" si="1"/>
        <v>21</v>
      </c>
      <c r="B30" s="4" t="s">
        <v>17</v>
      </c>
      <c r="C30" s="5">
        <f>SUMIF($A$46:$A$112, 6,$D$46:$D$112)</f>
        <v>0</v>
      </c>
      <c r="D30" s="5">
        <f t="shared" si="3"/>
        <v>0</v>
      </c>
      <c r="E30" s="28" t="s">
        <v>23</v>
      </c>
      <c r="F30" s="51">
        <f>SUMIF($A$46:$A$112, 6,$F$46:$F$112) + SUMIF($A$46:$A$112, 6,$K$46:$K$112)</f>
        <v>0</v>
      </c>
      <c r="H30" s="76"/>
      <c r="I30" s="76"/>
    </row>
    <row r="31" spans="1:9" ht="12.95" customHeight="1" x14ac:dyDescent="0.2">
      <c r="A31" s="29">
        <f t="shared" si="1"/>
        <v>22</v>
      </c>
      <c r="B31" s="4" t="s">
        <v>18</v>
      </c>
      <c r="C31" s="5">
        <f>SUMIF($A$46:$A$112, 7,$D$46:$D$112)</f>
        <v>0</v>
      </c>
      <c r="D31" s="5">
        <f t="shared" si="3"/>
        <v>0</v>
      </c>
      <c r="E31" s="28" t="s">
        <v>23</v>
      </c>
      <c r="F31" s="51">
        <f>SUMIF($A$46:$A$112, 7,$F$46:$F$112) + SUMIF($A$46:$A$112, 7,$K$46:$K$112)</f>
        <v>0</v>
      </c>
      <c r="H31" s="76"/>
      <c r="I31" s="76"/>
    </row>
    <row r="32" spans="1:9" ht="12.95" customHeight="1" x14ac:dyDescent="0.2">
      <c r="A32" s="29">
        <f t="shared" si="1"/>
        <v>23</v>
      </c>
      <c r="B32" s="4" t="s">
        <v>19</v>
      </c>
      <c r="C32" s="5">
        <f>SUMIF($A$46:$A$112, 8,$D$46:$D$112)</f>
        <v>0</v>
      </c>
      <c r="D32" s="5">
        <f t="shared" si="3"/>
        <v>0</v>
      </c>
      <c r="E32" s="28" t="s">
        <v>23</v>
      </c>
      <c r="F32" s="51">
        <f>SUMIF($A$46:$A$112, 8,$F$46:$F$112) + SUMIF($A$46:$A$112, 8,$K$46:$K$112)</f>
        <v>0</v>
      </c>
      <c r="H32" s="76"/>
      <c r="I32" s="76"/>
    </row>
    <row r="33" spans="1:15" ht="12.95" customHeight="1" x14ac:dyDescent="0.2">
      <c r="A33" s="29">
        <f t="shared" si="1"/>
        <v>24</v>
      </c>
      <c r="B33" t="s">
        <v>79</v>
      </c>
      <c r="C33" s="5">
        <f>SUMIF($B$46:$B$112, B33,$D$46:$D$112)</f>
        <v>0</v>
      </c>
      <c r="D33" s="5">
        <f t="shared" si="3"/>
        <v>0</v>
      </c>
      <c r="E33" s="28" t="s">
        <v>23</v>
      </c>
      <c r="F33" s="51">
        <f>SUMIF($B$46:$B$112, B33,$F$46:$F$112) + SUMIF($B$46:$B$112, B33,$K$46:$K$112)</f>
        <v>0</v>
      </c>
      <c r="G33" s="42"/>
      <c r="H33" s="76"/>
      <c r="I33" s="76"/>
    </row>
    <row r="34" spans="1:15" ht="12.95" customHeight="1" x14ac:dyDescent="0.2">
      <c r="A34" s="29">
        <f t="shared" si="1"/>
        <v>25</v>
      </c>
      <c r="B34" t="s">
        <v>20</v>
      </c>
      <c r="C34" s="5">
        <f>SUMIF($B$46:$B$112, B34,$D$46:$D$112)</f>
        <v>0.99809611723302361</v>
      </c>
      <c r="D34" s="5">
        <f t="shared" si="3"/>
        <v>493.76912809766964</v>
      </c>
      <c r="E34" s="28" t="s">
        <v>23</v>
      </c>
      <c r="F34" s="51">
        <f t="shared" ref="F34:F35" si="4">SUMIF($B$46:$B$112, B34,$F$46:$F$112) + SUMIF($B$46:$B$112, B34,$K$46:$K$112)</f>
        <v>492.82904956381952</v>
      </c>
      <c r="G34" s="42"/>
      <c r="H34" s="76"/>
      <c r="I34" s="76"/>
    </row>
    <row r="35" spans="1:15" ht="12.95" customHeight="1" x14ac:dyDescent="0.2">
      <c r="A35" s="29">
        <f t="shared" si="1"/>
        <v>26</v>
      </c>
      <c r="B35" t="s">
        <v>80</v>
      </c>
      <c r="C35" s="5">
        <f>SUMIF($B$46:$B$112, B35,$D$46:$D$112)</f>
        <v>0</v>
      </c>
      <c r="D35" s="5">
        <f t="shared" si="3"/>
        <v>0</v>
      </c>
      <c r="E35" s="28" t="s">
        <v>23</v>
      </c>
      <c r="F35" s="51">
        <f t="shared" si="4"/>
        <v>0</v>
      </c>
      <c r="G35" s="42"/>
      <c r="H35" s="76"/>
      <c r="I35" s="76"/>
    </row>
    <row r="36" spans="1:15" ht="12.95" customHeight="1" x14ac:dyDescent="0.2">
      <c r="F36" s="50"/>
      <c r="G36" s="42"/>
    </row>
    <row r="37" spans="1:15" ht="12.95" customHeight="1" x14ac:dyDescent="0.2">
      <c r="F37" s="50"/>
      <c r="G37" s="42"/>
    </row>
    <row r="38" spans="1:15" x14ac:dyDescent="0.2">
      <c r="B38" s="4"/>
      <c r="C38" s="5"/>
      <c r="D38" s="17"/>
      <c r="E38" s="7"/>
      <c r="F38" s="52"/>
    </row>
    <row r="39" spans="1:15" x14ac:dyDescent="0.2">
      <c r="A39" s="31"/>
      <c r="B39" s="53" t="s">
        <v>84</v>
      </c>
      <c r="C39" s="46"/>
      <c r="D39" s="54"/>
      <c r="E39" s="55"/>
      <c r="F39" s="169">
        <f>SUM(F10:F35)</f>
        <v>4184.602709519655</v>
      </c>
    </row>
    <row r="40" spans="1:15" x14ac:dyDescent="0.2">
      <c r="A40" s="31"/>
      <c r="B40" s="34"/>
      <c r="C40" s="31"/>
      <c r="D40" s="35"/>
      <c r="E40" s="36"/>
      <c r="F40" s="16"/>
    </row>
    <row r="42" spans="1:15" x14ac:dyDescent="0.2">
      <c r="H42" s="45" t="s">
        <v>148</v>
      </c>
      <c r="I42" s="45"/>
      <c r="J42" s="45"/>
      <c r="K42" s="45"/>
    </row>
    <row r="43" spans="1:15" ht="38.25" x14ac:dyDescent="0.2">
      <c r="A43" s="23" t="s">
        <v>85</v>
      </c>
      <c r="B43" s="41" t="s">
        <v>86</v>
      </c>
      <c r="C43" s="44" t="s">
        <v>143</v>
      </c>
      <c r="D43" s="47" t="s">
        <v>82</v>
      </c>
      <c r="E43" s="24" t="s">
        <v>27</v>
      </c>
      <c r="F43" s="23" t="s">
        <v>26</v>
      </c>
      <c r="H43" s="44" t="s">
        <v>143</v>
      </c>
      <c r="I43" s="47" t="s">
        <v>82</v>
      </c>
      <c r="J43" s="24" t="s">
        <v>27</v>
      </c>
      <c r="K43" s="23" t="s">
        <v>149</v>
      </c>
    </row>
    <row r="44" spans="1:15" x14ac:dyDescent="0.2">
      <c r="E44" s="8"/>
      <c r="F44"/>
    </row>
    <row r="45" spans="1:15" x14ac:dyDescent="0.2">
      <c r="E45" s="8"/>
      <c r="F45"/>
    </row>
    <row r="46" spans="1:15" x14ac:dyDescent="0.2">
      <c r="A46" s="158">
        <v>1</v>
      </c>
      <c r="B46" s="107" t="s">
        <v>28</v>
      </c>
      <c r="C46" s="5">
        <f>SUMIFS(Physician_Visit_July,Physician_Visit_Practice,July!B46,Physician_Visit_Hospitalists, "&lt;&gt;"&amp;'Physician Types'!$D$81)+SUMIFS(Physician_Visit_July,Physician_Visit_Practice,July!B46,Physician_Visit_Hospitalists,'Physician Types'!$D$81)*INDEX(Physician_Type_Hospitalists_Visit_Minutes,MATCH(July!B46,Physician_Type_Practice,0))/INDEX(Physician_Type_Visit_Minutes,MATCH(July!B46,Physician_Type_Practice,0)) +SUMIF(Physician_Minutes_Practice,July!B46,Physician_Minutes_July)/INDEX(Physician_Type_Visit_Minutes,MATCH(July!B46,Physician_Type_Practice,0))</f>
        <v>0</v>
      </c>
      <c r="D46" s="43">
        <f t="shared" ref="D46:D77" si="5">C46*INDEX(Physician_Type_Visit_Minutes,MATCH(B46,Physician_Type_Practice,0))/INDEX(Physician_Type_FTE_Minutes,MATCH(B46,Physician_Type_Practice,0))</f>
        <v>0</v>
      </c>
      <c r="E46" s="17">
        <f>INDEX(Physician_Type_Bed_Rate,MATCH(July!B46,Physician_Type_Practice,0))*'Hospital Input Page'!$C$4</f>
        <v>925.08524394583173</v>
      </c>
      <c r="F46" s="9">
        <f t="shared" ref="F46:F53" si="6">D46*E46</f>
        <v>0</v>
      </c>
      <c r="H46" s="5">
        <f t="array" ref="H46">SUMIFS(Physician_Visit_July, Physician_Visit_Practice, July!B46, Independent_Contractor_Visits,  'Physician Types'!$D$81) + SUMIFS(Physician_Minutes_July,Physician_Minutes_Practice,July!B46, Independent_Contractor_Minutes, 'Physician Types'!$D$81)/INDEX(Physician_Type_Visit_Minutes,MATCH(July!B46,Physician_Type_Practice,0))</f>
        <v>0</v>
      </c>
      <c r="I46" s="43">
        <f t="shared" ref="I46:I77" si="7">H46*INDEX(Physician_Type_Visit_Minutes,MATCH(B46,Physician_Type_Practice,0))/INDEX(Physician_Type_FTE_Minutes,MATCH(B46,Physician_Type_Practice,0))</f>
        <v>0</v>
      </c>
      <c r="J46" s="10">
        <f>E46*'Physician Types'!$E$4</f>
        <v>27.752557318374951</v>
      </c>
      <c r="K46" s="10">
        <f>I46*J46</f>
        <v>0</v>
      </c>
      <c r="M46" s="5"/>
      <c r="N46" s="5"/>
      <c r="O46" s="5"/>
    </row>
    <row r="47" spans="1:15" x14ac:dyDescent="0.2">
      <c r="A47" s="158">
        <v>1</v>
      </c>
      <c r="B47" s="107" t="s">
        <v>29</v>
      </c>
      <c r="C47" s="5">
        <f t="array" ref="C47">SUMIFS(Physician_Visit_July,Physician_Visit_Practice,July!B47,Physician_Visit_Hospitalists, "&lt;&gt;"&amp;'Physician Types'!$D$81)+SUMIFS(Physician_Visit_July,Physician_Visit_Practice,July!B47,Physician_Visit_Hospitalists,'Physician Types'!$D$81)*INDEX(Physician_Type_Hospitalists_Visit_Minutes,MATCH(July!B47,Physician_Type_Practice,0))/INDEX(Physician_Type_Visit_Minutes,MATCH(July!B47,Physician_Type_Practice,0)) +SUMIF(Physician_Minutes_Practice,July!B47,Physician_Minutes_July)/INDEX(Physician_Type_Visit_Minutes,MATCH(July!B47,Physician_Type_Practice,0))</f>
        <v>0</v>
      </c>
      <c r="D47" s="43">
        <f t="shared" si="5"/>
        <v>0</v>
      </c>
      <c r="E47" s="17">
        <f>INDEX(Physician_Type_Bed_Rate,MATCH(July!B47,Physician_Type_Practice,0))*'Hospital Input Page'!$C$4</f>
        <v>993.39322609373073</v>
      </c>
      <c r="F47" s="9">
        <f t="shared" si="6"/>
        <v>0</v>
      </c>
      <c r="H47" s="5">
        <f t="array" ref="H47">SUMIFS(Physician_Visit_July, Physician_Visit_Practice, July!B47, Independent_Contractor_Visits,  'Physician Types'!$D$81) + SUMIFS(Physician_Minutes_July,Physician_Minutes_Practice,July!B47, Independent_Contractor_Minutes, 'Physician Types'!$D$81)/INDEX(Physician_Type_Visit_Minutes,MATCH(July!B47,Physician_Type_Practice,0))</f>
        <v>0</v>
      </c>
      <c r="I47" s="43">
        <f t="shared" si="7"/>
        <v>0</v>
      </c>
      <c r="J47" s="10">
        <f>E47*'Physician Types'!$E$4</f>
        <v>29.80179678281192</v>
      </c>
      <c r="K47" s="10">
        <f t="shared" ref="K47:K111" si="8">I47*J47</f>
        <v>0</v>
      </c>
    </row>
    <row r="48" spans="1:15" x14ac:dyDescent="0.2">
      <c r="A48" s="158">
        <v>4</v>
      </c>
      <c r="B48" s="102" t="s">
        <v>60</v>
      </c>
      <c r="C48" s="5">
        <f t="array" ref="C48">SUMIFS(Physician_Visit_July,Physician_Visit_Practice,July!B48,Physician_Visit_Hospitalists, "&lt;&gt;"&amp;'Physician Types'!$D$81)+SUMIFS(Physician_Visit_July,Physician_Visit_Practice,July!B48,Physician_Visit_Hospitalists,'Physician Types'!$D$81)*INDEX(Physician_Type_Hospitalists_Visit_Minutes,MATCH(July!B48,Physician_Type_Practice,0))/INDEX(Physician_Type_Visit_Minutes,MATCH(July!B48,Physician_Type_Practice,0)) +SUMIF(Physician_Minutes_Practice,July!B48,Physician_Minutes_July)/INDEX(Physician_Type_Visit_Minutes,MATCH(July!B48,Physician_Type_Practice,0))</f>
        <v>0</v>
      </c>
      <c r="D48" s="43">
        <f t="shared" si="5"/>
        <v>0</v>
      </c>
      <c r="E48" s="17">
        <f>INDEX(Physician_Type_Bed_Rate,MATCH(July!B48,Physician_Type_Practice,0))*'Hospital Input Page'!$C$4</f>
        <v>2699.1411231584075</v>
      </c>
      <c r="F48" s="9">
        <f t="shared" si="6"/>
        <v>0</v>
      </c>
      <c r="H48" s="5">
        <f>SUMIFS(Physician_Visit_July,Physician_Visit_Practice,July!B48,Independent_Contractor_Visits, "&lt;&gt;"&amp;'Physician Types'!$D$81)+SUMIFS(Physician_Visit_July,Physician_Visit_Practice,July!B48,Independent_Contractor_Visits,'Physician Types'!$D$81)*INDEX(Physician_Type_Hospitalists_Visit_Minutes,MATCH(July!B48,Physician_Type_Practice,0))/INDEX(Physician_Type_Visit_Minutes,MATCH(July!B48,Physician_Type_Practice,0)) +SUMIF(Physician_Minutes_Practice,July!B48,Physician_Minutes_July)/INDEX(Physician_Type_Visit_Minutes,MATCH(July!B48,Physician_Type_Practice,0))</f>
        <v>0</v>
      </c>
      <c r="I48" s="43">
        <f t="shared" si="7"/>
        <v>0</v>
      </c>
      <c r="J48" s="10">
        <f>E48*'Physician Types'!$E$4</f>
        <v>80.974233694752215</v>
      </c>
      <c r="K48" s="10">
        <f t="shared" si="8"/>
        <v>0</v>
      </c>
    </row>
    <row r="49" spans="1:11" x14ac:dyDescent="0.2">
      <c r="A49" s="158">
        <v>4</v>
      </c>
      <c r="B49" s="102" t="s">
        <v>61</v>
      </c>
      <c r="C49" s="5">
        <f t="array" ref="C49">SUMIFS(Physician_Visit_July,Physician_Visit_Practice,July!B49,Physician_Visit_Hospitalists, "&lt;&gt;"&amp;'Physician Types'!$D$81)+SUMIFS(Physician_Visit_July,Physician_Visit_Practice,July!B49,Physician_Visit_Hospitalists,'Physician Types'!$D$81)*INDEX(Physician_Type_Hospitalists_Visit_Minutes,MATCH(July!B49,Physician_Type_Practice,0))/INDEX(Physician_Type_Visit_Minutes,MATCH(July!B49,Physician_Type_Practice,0)) +SUMIF(Physician_Minutes_Practice,July!B49,Physician_Minutes_July)/INDEX(Physician_Type_Visit_Minutes,MATCH(July!B49,Physician_Type_Practice,0))</f>
        <v>0</v>
      </c>
      <c r="D49" s="43">
        <f t="shared" si="5"/>
        <v>0</v>
      </c>
      <c r="E49" s="17">
        <f>INDEX(Physician_Type_Bed_Rate,MATCH(July!B49,Physician_Type_Practice,0))*'Hospital Input Page'!$C$4</f>
        <v>3071.9075400226566</v>
      </c>
      <c r="F49" s="9">
        <f t="shared" si="6"/>
        <v>0</v>
      </c>
      <c r="H49" s="5">
        <f>SUMIFS(Physician_Visit_July,Physician_Visit_Practice,July!B49,Independent_Contractor_Visits, "&lt;&gt;"&amp;'Physician Types'!$D$81)+SUMIFS(Physician_Visit_July,Physician_Visit_Practice,July!B49,Independent_Contractor_Visits,'Physician Types'!$D$81)*INDEX(Physician_Type_Hospitalists_Visit_Minutes,MATCH(July!B49,Physician_Type_Practice,0))/INDEX(Physician_Type_Visit_Minutes,MATCH(July!B49,Physician_Type_Practice,0)) +SUMIF(Physician_Minutes_Practice,July!B49,Physician_Minutes_July)/INDEX(Physician_Type_Visit_Minutes,MATCH(July!B49,Physician_Type_Practice,0))</f>
        <v>0</v>
      </c>
      <c r="I49" s="43">
        <f t="shared" si="7"/>
        <v>0</v>
      </c>
      <c r="J49" s="10">
        <f>E49*'Physician Types'!$E$4</f>
        <v>92.157226200679688</v>
      </c>
      <c r="K49" s="10">
        <f t="shared" si="8"/>
        <v>0</v>
      </c>
    </row>
    <row r="50" spans="1:11" x14ac:dyDescent="0.2">
      <c r="A50" s="158">
        <v>2</v>
      </c>
      <c r="B50" s="107" t="s">
        <v>34</v>
      </c>
      <c r="C50" s="5">
        <f t="array" ref="C50">SUMIFS(Physician_Visit_July,Physician_Visit_Practice,July!B50,Physician_Visit_Hospitalists, "&lt;&gt;"&amp;'Physician Types'!$D$81)+SUMIFS(Physician_Visit_July,Physician_Visit_Practice,July!B50,Physician_Visit_Hospitalists,'Physician Types'!$D$81)*INDEX(Physician_Type_Hospitalists_Visit_Minutes,MATCH(July!B50,Physician_Type_Practice,0))/INDEX(Physician_Type_Visit_Minutes,MATCH(July!B50,Physician_Type_Practice,0)) +SUMIF(Physician_Minutes_Practice,July!B50,Physician_Minutes_July)/INDEX(Physician_Type_Visit_Minutes,MATCH(July!B50,Physician_Type_Practice,0))</f>
        <v>0</v>
      </c>
      <c r="D50" s="43">
        <f t="shared" si="5"/>
        <v>0</v>
      </c>
      <c r="E50" s="17">
        <f>INDEX(Physician_Type_Bed_Rate,MATCH(July!B50,Physician_Type_Practice,0))*'Hospital Input Page'!$C$4</f>
        <v>1619.8750052216039</v>
      </c>
      <c r="F50" s="9">
        <f t="shared" si="6"/>
        <v>0</v>
      </c>
      <c r="H50" s="5">
        <f>SUMIFS(Physician_Visit_July,Physician_Visit_Practice,July!B50,Independent_Contractor_Visits, "&lt;&gt;"&amp;'Physician Types'!$D$81)+SUMIFS(Physician_Visit_July,Physician_Visit_Practice,July!B50,Independent_Contractor_Visits,'Physician Types'!$D$81)*INDEX(Physician_Type_Hospitalists_Visit_Minutes,MATCH(July!B50,Physician_Type_Practice,0))/INDEX(Physician_Type_Visit_Minutes,MATCH(July!B50,Physician_Type_Practice,0)) +SUMIF(Physician_Minutes_Practice,July!B50,Physician_Minutes_July)/INDEX(Physician_Type_Visit_Minutes,MATCH(July!B50,Physician_Type_Practice,0))</f>
        <v>0</v>
      </c>
      <c r="I50" s="43">
        <f t="shared" si="7"/>
        <v>0</v>
      </c>
      <c r="J50" s="10">
        <f>E50*'Physician Types'!$E$4</f>
        <v>48.596250156648118</v>
      </c>
      <c r="K50" s="10">
        <f t="shared" si="8"/>
        <v>0</v>
      </c>
    </row>
    <row r="51" spans="1:11" x14ac:dyDescent="0.2">
      <c r="A51" s="158">
        <v>7</v>
      </c>
      <c r="B51" s="102" t="s">
        <v>72</v>
      </c>
      <c r="C51" s="5">
        <f t="array" ref="C51">SUMIFS(Physician_Visit_July,Physician_Visit_Practice,July!B51,Physician_Visit_Hospitalists, "&lt;&gt;"&amp;'Physician Types'!$D$81)+SUMIFS(Physician_Visit_July,Physician_Visit_Practice,July!B51,Physician_Visit_Hospitalists,'Physician Types'!$D$81)*INDEX(Physician_Type_Hospitalists_Visit_Minutes,MATCH(July!B51,Physician_Type_Practice,0))/INDEX(Physician_Type_Visit_Minutes,MATCH(July!B51,Physician_Type_Practice,0)) +SUMIF(Physician_Minutes_Practice,July!B51,Physician_Minutes_July)/INDEX(Physician_Type_Visit_Minutes,MATCH(July!B51,Physician_Type_Practice,0))</f>
        <v>0</v>
      </c>
      <c r="D51" s="43">
        <f t="shared" si="5"/>
        <v>0</v>
      </c>
      <c r="E51" s="17">
        <f>INDEX(Physician_Type_Bed_Rate,MATCH(July!B51,Physician_Type_Practice,0))*'Hospital Input Page'!$C$4</f>
        <v>7974.4690016090053</v>
      </c>
      <c r="F51" s="9">
        <f t="shared" si="6"/>
        <v>0</v>
      </c>
      <c r="H51" s="5">
        <f>SUMIFS(Physician_Visit_July,Physician_Visit_Practice,July!B51,Independent_Contractor_Visits, "&lt;&gt;"&amp;'Physician Types'!$D$81)+SUMIFS(Physician_Visit_July,Physician_Visit_Practice,July!B51,Independent_Contractor_Visits,'Physician Types'!$D$81)*INDEX(Physician_Type_Hospitalists_Visit_Minutes,MATCH(July!B51,Physician_Type_Practice,0))/INDEX(Physician_Type_Visit_Minutes,MATCH(July!B51,Physician_Type_Practice,0)) +SUMIF(Physician_Minutes_Practice,July!B51,Physician_Minutes_July)/INDEX(Physician_Type_Visit_Minutes,MATCH(July!B51,Physician_Type_Practice,0))</f>
        <v>0</v>
      </c>
      <c r="I51" s="43">
        <f t="shared" si="7"/>
        <v>0</v>
      </c>
      <c r="J51" s="10">
        <f>E51*'Physician Types'!$E$4</f>
        <v>239.23407004827015</v>
      </c>
      <c r="K51" s="10">
        <f t="shared" si="8"/>
        <v>0</v>
      </c>
    </row>
    <row r="52" spans="1:11" x14ac:dyDescent="0.2">
      <c r="A52" s="158">
        <v>6</v>
      </c>
      <c r="B52" s="102" t="s">
        <v>69</v>
      </c>
      <c r="C52" s="5">
        <f t="array" ref="C52">SUMIFS(Physician_Visit_July,Physician_Visit_Practice,July!B52,Physician_Visit_Hospitalists, "&lt;&gt;"&amp;'Physician Types'!$D$81)+SUMIFS(Physician_Visit_July,Physician_Visit_Practice,July!B52,Physician_Visit_Hospitalists,'Physician Types'!$D$81)*INDEX(Physician_Type_Hospitalists_Visit_Minutes,MATCH(July!B52,Physician_Type_Practice,0))/INDEX(Physician_Type_Visit_Minutes,MATCH(July!B52,Physician_Type_Practice,0)) +SUMIF(Physician_Minutes_Practice,July!B52,Physician_Minutes_July)/INDEX(Physician_Type_Visit_Minutes,MATCH(July!B52,Physician_Type_Practice,0))</f>
        <v>0</v>
      </c>
      <c r="D52" s="43">
        <f t="shared" si="5"/>
        <v>0</v>
      </c>
      <c r="E52" s="17">
        <f>INDEX(Physician_Type_Bed_Rate,MATCH(July!B52,Physician_Type_Practice,0))*'Hospital Input Page'!$C$4</f>
        <v>3534.4501619955722</v>
      </c>
      <c r="F52" s="9">
        <f t="shared" si="6"/>
        <v>0</v>
      </c>
      <c r="H52" s="5">
        <f>SUMIFS(Physician_Visit_July,Physician_Visit_Practice,July!B52,Independent_Contractor_Visits, "&lt;&gt;"&amp;'Physician Types'!$D$81)+SUMIFS(Physician_Visit_July,Physician_Visit_Practice,July!B52,Independent_Contractor_Visits,'Physician Types'!$D$81)*INDEX(Physician_Type_Hospitalists_Visit_Minutes,MATCH(July!B52,Physician_Type_Practice,0))/INDEX(Physician_Type_Visit_Minutes,MATCH(July!B52,Physician_Type_Practice,0)) +SUMIF(Physician_Minutes_Practice,July!B52,Physician_Minutes_July)/INDEX(Physician_Type_Visit_Minutes,MATCH(July!B52,Physician_Type_Practice,0))</f>
        <v>0</v>
      </c>
      <c r="I52" s="43">
        <f t="shared" si="7"/>
        <v>0</v>
      </c>
      <c r="J52" s="10">
        <f>E52*'Physician Types'!$E$4</f>
        <v>106.03350485986716</v>
      </c>
      <c r="K52" s="10">
        <f t="shared" si="8"/>
        <v>0</v>
      </c>
    </row>
    <row r="53" spans="1:11" x14ac:dyDescent="0.2">
      <c r="A53" s="158">
        <v>2</v>
      </c>
      <c r="B53" s="107" t="s">
        <v>35</v>
      </c>
      <c r="C53" s="5">
        <f t="array" ref="C53">SUMIFS(Physician_Visit_July,Physician_Visit_Practice,July!B53,Physician_Visit_Hospitalists, "&lt;&gt;"&amp;'Physician Types'!$D$81)+SUMIFS(Physician_Visit_July,Physician_Visit_Practice,July!B53,Physician_Visit_Hospitalists,'Physician Types'!$D$81)*INDEX(Physician_Type_Hospitalists_Visit_Minutes,MATCH(July!B53,Physician_Type_Practice,0))/INDEX(Physician_Type_Visit_Minutes,MATCH(July!B53,Physician_Type_Practice,0)) +SUMIF(Physician_Minutes_Practice,July!B53,Physician_Minutes_July)/INDEX(Physician_Type_Visit_Minutes,MATCH(July!B53,Physician_Type_Practice,0))</f>
        <v>0</v>
      </c>
      <c r="D53" s="43">
        <f t="shared" si="5"/>
        <v>0</v>
      </c>
      <c r="E53" s="17">
        <f>INDEX(Physician_Type_Bed_Rate,MATCH(July!B53,Physician_Type_Practice,0))*'Hospital Input Page'!$C$4</f>
        <v>993.39322609373073</v>
      </c>
      <c r="F53" s="9">
        <f t="shared" si="6"/>
        <v>0</v>
      </c>
      <c r="H53" s="5">
        <f>SUMIFS(Physician_Visit_July,Physician_Visit_Practice,July!B53,Independent_Contractor_Visits, "&lt;&gt;"&amp;'Physician Types'!$D$81)+SUMIFS(Physician_Visit_July,Physician_Visit_Practice,July!B53,Independent_Contractor_Visits,'Physician Types'!$D$81)*INDEX(Physician_Type_Hospitalists_Visit_Minutes,MATCH(July!B53,Physician_Type_Practice,0))/INDEX(Physician_Type_Visit_Minutes,MATCH(July!B53,Physician_Type_Practice,0)) +SUMIF(Physician_Minutes_Practice,July!B53,Physician_Minutes_July)/INDEX(Physician_Type_Visit_Minutes,MATCH(July!B53,Physician_Type_Practice,0))</f>
        <v>0</v>
      </c>
      <c r="I53" s="43">
        <f t="shared" si="7"/>
        <v>0</v>
      </c>
      <c r="J53" s="10">
        <f>E53*'Physician Types'!$E$4</f>
        <v>29.80179678281192</v>
      </c>
      <c r="K53" s="10">
        <f t="shared" si="8"/>
        <v>0</v>
      </c>
    </row>
    <row r="54" spans="1:11" x14ac:dyDescent="0.2">
      <c r="A54" s="158"/>
      <c r="B54" s="161" t="s">
        <v>136</v>
      </c>
      <c r="C54" s="5">
        <f t="array" ref="C54">SUMIFS(Physician_Visit_July,Physician_Visit_Practice,July!B54,Physician_Visit_Hospitalists, "&lt;&gt;"&amp;'Physician Types'!$D$81)+SUMIFS(Physician_Visit_July,Physician_Visit_Practice,July!B54,Physician_Visit_Hospitalists,'Physician Types'!$D$81)*INDEX(Physician_Type_Hospitalists_Visit_Minutes,MATCH(July!B54,Physician_Type_Practice,0))/INDEX(Physician_Type_Visit_Minutes,MATCH(July!B54,Physician_Type_Practice,0)) +SUMIF(Physician_Minutes_Practice,July!B54,Physician_Minutes_July)/INDEX(Physician_Type_Visit_Minutes,MATCH(July!B54,Physician_Type_Practice,0))</f>
        <v>88</v>
      </c>
      <c r="D54" s="43">
        <f t="shared" si="5"/>
        <v>0.12692551779841918</v>
      </c>
      <c r="E54" s="17">
        <f>INDEX(Physician_Type_Bed_Rate,MATCH(July!B54,Physician_Type_Practice,0))*'Hospital Input Page'!$C$4</f>
        <v>1727.2161200254454</v>
      </c>
      <c r="F54" s="9">
        <f>C54*E54/100</f>
        <v>1519.9501856223919</v>
      </c>
      <c r="H54" s="5">
        <f t="array" ref="H54">SUMIFS(Physician_Visit_July, Physician_Visit_Practice, July!B54, Independent_Contractor_Visits, 'Physician Types'!$D$81)</f>
        <v>3</v>
      </c>
      <c r="I54" s="43">
        <f t="shared" si="7"/>
        <v>4.3270062885824726E-3</v>
      </c>
      <c r="J54" s="10">
        <f>E54*'Physician Types'!$E$4</f>
        <v>51.816483600763362</v>
      </c>
      <c r="K54" s="10">
        <f t="shared" si="8"/>
        <v>0.22421025039273362</v>
      </c>
    </row>
    <row r="55" spans="1:11" x14ac:dyDescent="0.2">
      <c r="A55" s="158">
        <v>2</v>
      </c>
      <c r="B55" s="107" t="s">
        <v>36</v>
      </c>
      <c r="C55" s="5">
        <f t="array" ref="C55">SUMIFS(Physician_Visit_July,Physician_Visit_Practice,July!B55,Physician_Visit_Hospitalists, "&lt;&gt;"&amp;'Physician Types'!$D$81)+SUMIFS(Physician_Visit_July,Physician_Visit_Practice,July!B55,Physician_Visit_Hospitalists,'Physician Types'!$D$81)*INDEX(Physician_Type_Hospitalists_Visit_Minutes,MATCH(July!B55,Physician_Type_Practice,0))/INDEX(Physician_Type_Visit_Minutes,MATCH(July!B55,Physician_Type_Practice,0)) +SUMIF(Physician_Minutes_Practice,July!B55,Physician_Minutes_July)/INDEX(Physician_Type_Visit_Minutes,MATCH(July!B55,Physician_Type_Practice,0))</f>
        <v>0</v>
      </c>
      <c r="D55" s="43">
        <f t="shared" si="5"/>
        <v>0</v>
      </c>
      <c r="E55" s="17">
        <f>INDEX(Physician_Type_Bed_Rate,MATCH(July!B55,Physician_Type_Practice,0))*'Hospital Input Page'!$C$4</f>
        <v>2544.9602491674359</v>
      </c>
      <c r="F55" s="9">
        <f>C55*E55/100</f>
        <v>0</v>
      </c>
      <c r="H55" s="5">
        <f>SUMIFS(Physician_Visit_July,Physician_Visit_Practice,July!B55,Independent_Contractor_Visits, "&lt;&gt;"&amp;'Physician Types'!$D$81)+SUMIFS(Physician_Visit_July,Physician_Visit_Practice,July!B55,Independent_Contractor_Visits,'Physician Types'!$D$81)*INDEX(Physician_Type_Hospitalists_Visit_Minutes,MATCH(July!B55,Physician_Type_Practice,0))/INDEX(Physician_Type_Visit_Minutes,MATCH(July!B55,Physician_Type_Practice,0)) +SUMIF(Physician_Minutes_Practice,July!B55,Physician_Minutes_July)/INDEX(Physician_Type_Visit_Minutes,MATCH(July!B55,Physician_Type_Practice,0))</f>
        <v>0</v>
      </c>
      <c r="I55" s="43">
        <f t="shared" si="7"/>
        <v>0</v>
      </c>
      <c r="J55" s="10">
        <f>E55*'Physician Types'!$E$4</f>
        <v>76.348807475023079</v>
      </c>
      <c r="K55" s="10">
        <f t="shared" si="8"/>
        <v>0</v>
      </c>
    </row>
    <row r="56" spans="1:11" x14ac:dyDescent="0.2">
      <c r="A56" s="158">
        <v>2</v>
      </c>
      <c r="B56" s="107" t="s">
        <v>37</v>
      </c>
      <c r="C56" s="5">
        <f t="array" ref="C56">SUMIFS(Physician_Visit_July,Physician_Visit_Practice,July!B56,Physician_Visit_Hospitalists, "&lt;&gt;"&amp;'Physician Types'!$D$81)+SUMIFS(Physician_Visit_July,Physician_Visit_Practice,July!B56,Physician_Visit_Hospitalists,'Physician Types'!$D$81)*INDEX(Physician_Type_Hospitalists_Visit_Minutes,MATCH(July!B56,Physician_Type_Practice,0))/INDEX(Physician_Type_Visit_Minutes,MATCH(July!B56,Physician_Type_Practice,0)) +SUMIF(Physician_Minutes_Practice,July!B56,Physician_Minutes_July)/INDEX(Physician_Type_Visit_Minutes,MATCH(July!B56,Physician_Type_Practice,0))</f>
        <v>0</v>
      </c>
      <c r="D56" s="43">
        <f t="shared" si="5"/>
        <v>0</v>
      </c>
      <c r="E56" s="17">
        <f>INDEX(Physician_Type_Bed_Rate,MATCH(July!B56,Physician_Type_Practice,0))*'Hospital Input Page'!$C$4</f>
        <v>1567.1802761360821</v>
      </c>
      <c r="F56" s="9">
        <f t="shared" ref="F56:F87" si="9">D56*E56</f>
        <v>0</v>
      </c>
      <c r="H56" s="5">
        <f t="array" ref="H56">SUMIFS(Physician_Visit_July, Physician_Visit_Practice, July!B56, Independent_Contractor_Visits,  'Physician Types'!$D$81) + SUMIFS(Physician_Minutes_July,Physician_Minutes_Practice,July!B56, Independent_Contractor_Minutes, 'Physician Types'!$D$81)/INDEX(Physician_Type_Visit_Minutes,MATCH(July!B56,Physician_Type_Practice,0))</f>
        <v>0</v>
      </c>
      <c r="I56" s="43">
        <f t="shared" si="7"/>
        <v>0</v>
      </c>
      <c r="J56" s="10">
        <f>E56*'Physician Types'!$E$4</f>
        <v>47.015408284082461</v>
      </c>
      <c r="K56" s="10">
        <f t="shared" si="8"/>
        <v>0</v>
      </c>
    </row>
    <row r="57" spans="1:11" x14ac:dyDescent="0.2">
      <c r="A57" s="158">
        <v>2</v>
      </c>
      <c r="B57" s="107" t="s">
        <v>38</v>
      </c>
      <c r="C57" s="5">
        <f t="array" ref="C57">SUMIFS(Physician_Visit_July,Physician_Visit_Practice,July!B57,Physician_Visit_Hospitalists, "&lt;&gt;"&amp;'Physician Types'!$D$81)+SUMIFS(Physician_Visit_July,Physician_Visit_Practice,July!B57,Physician_Visit_Hospitalists,'Physician Types'!$D$81)*INDEX(Physician_Type_Hospitalists_Visit_Minutes,MATCH(July!B57,Physician_Type_Practice,0))/INDEX(Physician_Type_Visit_Minutes,MATCH(July!B57,Physician_Type_Practice,0)) +SUMIF(Physician_Minutes_Practice,July!B57,Physician_Minutes_July)/INDEX(Physician_Type_Visit_Minutes,MATCH(July!B57,Physician_Type_Practice,0))</f>
        <v>0</v>
      </c>
      <c r="D57" s="43">
        <f t="shared" si="5"/>
        <v>0</v>
      </c>
      <c r="E57" s="17">
        <f>INDEX(Physician_Type_Bed_Rate,MATCH(July!B57,Physician_Type_Practice,0))*'Hospital Input Page'!$C$4</f>
        <v>4399.0340503246935</v>
      </c>
      <c r="F57" s="9">
        <f t="shared" si="9"/>
        <v>0</v>
      </c>
      <c r="H57" s="5">
        <f t="array" ref="H57">SUMIFS(Physician_Visit_July, Physician_Visit_Practice, July!B57, Independent_Contractor_Visits,  'Physician Types'!$D$81) + SUMIFS(Physician_Minutes_July,Physician_Minutes_Practice,July!B57, Independent_Contractor_Minutes, 'Physician Types'!$D$81)/INDEX(Physician_Type_Visit_Minutes,MATCH(July!B57,Physician_Type_Practice,0))</f>
        <v>0</v>
      </c>
      <c r="I57" s="43">
        <f t="shared" si="7"/>
        <v>0</v>
      </c>
      <c r="J57" s="10">
        <f>E57*'Physician Types'!$E$4</f>
        <v>131.97102150974081</v>
      </c>
      <c r="K57" s="10">
        <f t="shared" si="8"/>
        <v>0</v>
      </c>
    </row>
    <row r="58" spans="1:11" x14ac:dyDescent="0.2">
      <c r="A58" s="158">
        <v>3</v>
      </c>
      <c r="B58" s="161" t="s">
        <v>155</v>
      </c>
      <c r="C58" s="5">
        <f t="array" ref="C58">SUMIFS(Physician_Visit_July,Physician_Visit_Practice,July!B58,Physician_Visit_Hospitalists, "&lt;&gt;"&amp;'Physician Types'!$D$81)+SUMIFS(Physician_Visit_July,Physician_Visit_Practice,July!B58,Physician_Visit_Hospitalists,'Physician Types'!$D$81)*INDEX(Physician_Type_Hospitalists_Visit_Minutes,MATCH(July!B58,Physician_Type_Practice,0))/INDEX(Physician_Type_Visit_Minutes,MATCH(July!B58,Physician_Type_Practice,0)) +SUMIF(Physician_Minutes_Practice,July!B58,Physician_Minutes_July)/INDEX(Physician_Type_Visit_Minutes,MATCH(July!B58,Physician_Type_Practice,0))</f>
        <v>150</v>
      </c>
      <c r="D58" s="43">
        <f t="shared" si="5"/>
        <v>0.28846708590549813</v>
      </c>
      <c r="E58" s="17">
        <f>INDEX(Physician_Type_Bed_Rate,MATCH(July!B58,Physician_Type_Practice,0))*'Hospital Input Page'!$C$4</f>
        <v>1951.6566327971132</v>
      </c>
      <c r="F58" s="9">
        <f t="shared" si="9"/>
        <v>562.98870155112002</v>
      </c>
      <c r="H58" s="5">
        <f t="array" ref="H58">SUMIFS(Physician_Visit_July, Physician_Visit_Practice, July!B58, Independent_Contractor_Visits,  'Physician Types'!$D$81) + SUMIFS(Physician_Minutes_July,Physician_Minutes_Practice,July!B58, Independent_Contractor_Minutes, 'Physician Types'!$D$81)/INDEX(Physician_Type_Visit_Minutes,MATCH(July!B58,Physician_Type_Practice,0))</f>
        <v>0</v>
      </c>
      <c r="I58" s="43">
        <f t="shared" si="7"/>
        <v>0</v>
      </c>
      <c r="J58" s="10">
        <f>E58*'Physician Types'!$E$4</f>
        <v>58.549698983913395</v>
      </c>
      <c r="K58" s="10">
        <f t="shared" si="8"/>
        <v>0</v>
      </c>
    </row>
    <row r="59" spans="1:11" x14ac:dyDescent="0.2">
      <c r="A59" s="158">
        <v>5</v>
      </c>
      <c r="B59" s="161" t="s">
        <v>137</v>
      </c>
      <c r="C59" s="5">
        <f t="array" ref="C59">SUMIFS(Physician_Visit_July,Physician_Visit_Practice,July!B59,Physician_Visit_Hospitalists, "&lt;&gt;"&amp;'Physician Types'!$D$81)+SUMIFS(Physician_Visit_July,Physician_Visit_Practice,July!B59,Physician_Visit_Hospitalists,'Physician Types'!$D$81)*INDEX(Physician_Type_Hospitalists_Visit_Minutes,MATCH(July!B59,Physician_Type_Practice,0))/INDEX(Physician_Type_Visit_Minutes,MATCH(July!B59,Physician_Type_Practice,0)) +SUMIF(Physician_Minutes_Practice,July!B59,Physician_Minutes_July)/INDEX(Physician_Type_Visit_Minutes,MATCH(July!B59,Physician_Type_Practice,0))</f>
        <v>0</v>
      </c>
      <c r="D59" s="43">
        <f t="shared" si="5"/>
        <v>0</v>
      </c>
      <c r="E59" s="17">
        <f>INDEX(Physician_Type_Bed_Rate,MATCH(July!B59,Physician_Type_Practice,0))*'Hospital Input Page'!$C$4</f>
        <v>4933.7879677111023</v>
      </c>
      <c r="F59" s="9">
        <f t="shared" si="9"/>
        <v>0</v>
      </c>
      <c r="H59" s="5">
        <f t="array" ref="H59">SUMIFS(Physician_Visit_July, Physician_Visit_Practice, July!B59, Independent_Contractor_Visits,  'Physician Types'!$D$81) + SUMIFS(Physician_Minutes_July,Physician_Minutes_Practice,July!B59, Independent_Contractor_Minutes, 'Physician Types'!$D$81)/INDEX(Physician_Type_Visit_Minutes,MATCH(July!B59,Physician_Type_Practice,0))</f>
        <v>0</v>
      </c>
      <c r="I59" s="43">
        <f t="shared" si="7"/>
        <v>0</v>
      </c>
      <c r="J59" s="10">
        <f>E59*'Physician Types'!$E$4</f>
        <v>148.01363903133307</v>
      </c>
      <c r="K59" s="10">
        <f t="shared" si="8"/>
        <v>0</v>
      </c>
    </row>
    <row r="60" spans="1:11" x14ac:dyDescent="0.2">
      <c r="A60" s="158">
        <v>6</v>
      </c>
      <c r="B60" s="102" t="s">
        <v>70</v>
      </c>
      <c r="C60" s="5">
        <f t="array" ref="C60">SUMIFS(Physician_Visit_July,Physician_Visit_Practice,July!B60,Physician_Visit_Hospitalists, "&lt;&gt;"&amp;'Physician Types'!$D$81)+SUMIFS(Physician_Visit_July,Physician_Visit_Practice,July!B60,Physician_Visit_Hospitalists,'Physician Types'!$D$81)*INDEX(Physician_Type_Hospitalists_Visit_Minutes,MATCH(July!B60,Physician_Type_Practice,0))/INDEX(Physician_Type_Visit_Minutes,MATCH(July!B60,Physician_Type_Practice,0)) +SUMIF(Physician_Minutes_Practice,July!B60,Physician_Minutes_July)/INDEX(Physician_Type_Visit_Minutes,MATCH(July!B60,Physician_Type_Practice,0))</f>
        <v>0</v>
      </c>
      <c r="D60" s="43">
        <f t="shared" si="5"/>
        <v>0</v>
      </c>
      <c r="E60" s="17">
        <f>INDEX(Physician_Type_Bed_Rate,MATCH(July!B60,Physician_Type_Practice,0))*'Hospital Input Page'!$C$4</f>
        <v>5179.6967034435384</v>
      </c>
      <c r="F60" s="9">
        <f t="shared" si="9"/>
        <v>0</v>
      </c>
      <c r="H60" s="5">
        <f t="array" ref="H60">SUMIFS(Physician_Visit_July, Physician_Visit_Practice, July!B60, Independent_Contractor_Visits,  'Physician Types'!$D$81) + SUMIFS(Physician_Minutes_July,Physician_Minutes_Practice,July!B60, Independent_Contractor_Minutes, 'Physician Types'!$D$81)/INDEX(Physician_Type_Visit_Minutes,MATCH(July!B60,Physician_Type_Practice,0))</f>
        <v>0</v>
      </c>
      <c r="I60" s="43">
        <f t="shared" si="7"/>
        <v>0</v>
      </c>
      <c r="J60" s="10">
        <f>E60*'Physician Types'!$E$4</f>
        <v>155.39090110330613</v>
      </c>
      <c r="K60" s="10">
        <f t="shared" si="8"/>
        <v>0</v>
      </c>
    </row>
    <row r="61" spans="1:11" x14ac:dyDescent="0.2">
      <c r="A61" s="158">
        <v>2</v>
      </c>
      <c r="B61" s="107" t="s">
        <v>39</v>
      </c>
      <c r="C61" s="5">
        <f t="array" ref="C61">SUMIFS(Physician_Visit_July,Physician_Visit_Practice,July!B61,Physician_Visit_Hospitalists, "&lt;&gt;"&amp;'Physician Types'!$D$81)+SUMIFS(Physician_Visit_July,Physician_Visit_Practice,July!B61,Physician_Visit_Hospitalists,'Physician Types'!$D$81)*INDEX(Physician_Type_Hospitalists_Visit_Minutes,MATCH(July!B61,Physician_Type_Practice,0))/INDEX(Physician_Type_Visit_Minutes,MATCH(July!B61,Physician_Type_Practice,0)) +SUMIF(Physician_Minutes_Practice,July!B61,Physician_Minutes_July)/INDEX(Physician_Type_Visit_Minutes,MATCH(July!B61,Physician_Type_Practice,0))</f>
        <v>0</v>
      </c>
      <c r="D61" s="43">
        <f t="shared" si="5"/>
        <v>0</v>
      </c>
      <c r="E61" s="17">
        <f>INDEX(Physician_Type_Bed_Rate,MATCH(July!B61,Physician_Type_Practice,0))*'Hospital Input Page'!$C$4</f>
        <v>2539.1052792690443</v>
      </c>
      <c r="F61" s="9">
        <f t="shared" si="9"/>
        <v>0</v>
      </c>
      <c r="H61" s="5">
        <f t="array" ref="H61">SUMIFS(Physician_Visit_July, Physician_Visit_Practice, July!B61, Independent_Contractor_Visits,  'Physician Types'!$D$81) + SUMIFS(Physician_Minutes_July,Physician_Minutes_Practice,July!B61, Independent_Contractor_Minutes, 'Physician Types'!$D$81)/INDEX(Physician_Type_Visit_Minutes,MATCH(July!B61,Physician_Type_Practice,0))</f>
        <v>0</v>
      </c>
      <c r="I61" s="43">
        <f t="shared" si="7"/>
        <v>0</v>
      </c>
      <c r="J61" s="10">
        <f>E61*'Physician Types'!$E$4</f>
        <v>76.173158378071321</v>
      </c>
      <c r="K61" s="10">
        <f t="shared" si="8"/>
        <v>0</v>
      </c>
    </row>
    <row r="62" spans="1:11" x14ac:dyDescent="0.2">
      <c r="A62" s="158">
        <v>2</v>
      </c>
      <c r="B62" s="107" t="s">
        <v>40</v>
      </c>
      <c r="C62" s="5">
        <f t="array" ref="C62">SUMIFS(Physician_Visit_July,Physician_Visit_Practice,July!B62,Physician_Visit_Hospitalists, "&lt;&gt;"&amp;'Physician Types'!$D$81)+SUMIFS(Physician_Visit_July,Physician_Visit_Practice,July!B62,Physician_Visit_Hospitalists,'Physician Types'!$D$81)*INDEX(Physician_Type_Hospitalists_Visit_Minutes,MATCH(July!B62,Physician_Type_Practice,0))/INDEX(Physician_Type_Visit_Minutes,MATCH(July!B62,Physician_Type_Practice,0)) +SUMIF(Physician_Minutes_Practice,July!B62,Physician_Minutes_July)/INDEX(Physician_Type_Visit_Minutes,MATCH(July!B62,Physician_Type_Practice,0))</f>
        <v>0</v>
      </c>
      <c r="D62" s="43">
        <f t="shared" si="5"/>
        <v>0</v>
      </c>
      <c r="E62" s="17">
        <f>INDEX(Physician_Type_Bed_Rate,MATCH(July!B62,Physician_Type_Practice,0))*'Hospital Input Page'!$C$4</f>
        <v>1619.8750052216039</v>
      </c>
      <c r="F62" s="9">
        <f t="shared" si="9"/>
        <v>0</v>
      </c>
      <c r="H62" s="5">
        <f t="array" ref="H62">SUMIFS(Physician_Visit_July, Physician_Visit_Practice, July!B62, Independent_Contractor_Visits,  'Physician Types'!$D$81) + SUMIFS(Physician_Minutes_July,Physician_Minutes_Practice,July!B62, Independent_Contractor_Minutes, 'Physician Types'!$D$81)/INDEX(Physician_Type_Visit_Minutes,MATCH(July!B62,Physician_Type_Practice,0))</f>
        <v>0</v>
      </c>
      <c r="I62" s="43">
        <f t="shared" si="7"/>
        <v>0</v>
      </c>
      <c r="J62" s="10">
        <f>E62*'Physician Types'!$E$4</f>
        <v>48.596250156648118</v>
      </c>
      <c r="K62" s="10">
        <f t="shared" si="8"/>
        <v>0</v>
      </c>
    </row>
    <row r="63" spans="1:11" x14ac:dyDescent="0.2">
      <c r="A63" s="158">
        <v>2</v>
      </c>
      <c r="B63" s="107" t="s">
        <v>41</v>
      </c>
      <c r="C63" s="5">
        <f t="array" ref="C63">SUMIFS(Physician_Visit_July,Physician_Visit_Practice,July!B63,Physician_Visit_Hospitalists, "&lt;&gt;"&amp;'Physician Types'!$D$81)+SUMIFS(Physician_Visit_July,Physician_Visit_Practice,July!B63,Physician_Visit_Hospitalists,'Physician Types'!$D$81)*INDEX(Physician_Type_Hospitalists_Visit_Minutes,MATCH(July!B63,Physician_Type_Practice,0))/INDEX(Physician_Type_Visit_Minutes,MATCH(July!B63,Physician_Type_Practice,0)) +SUMIF(Physician_Minutes_Practice,July!B63,Physician_Minutes_July)/INDEX(Physician_Type_Visit_Minutes,MATCH(July!B63,Physician_Type_Practice,0))</f>
        <v>0</v>
      </c>
      <c r="D63" s="43">
        <f t="shared" si="5"/>
        <v>0</v>
      </c>
      <c r="E63" s="17">
        <f>INDEX(Physician_Type_Bed_Rate,MATCH(July!B63,Physician_Type_Practice,0))*'Hospital Input Page'!$C$4</f>
        <v>4844.0117626024357</v>
      </c>
      <c r="F63" s="9">
        <f t="shared" si="9"/>
        <v>0</v>
      </c>
      <c r="H63" s="5">
        <f t="array" ref="H63">SUMIFS(Physician_Visit_July, Physician_Visit_Practice, July!B63, Independent_Contractor_Visits,  'Physician Types'!$D$81) + SUMIFS(Physician_Minutes_July,Physician_Minutes_Practice,July!B63, Independent_Contractor_Minutes, 'Physician Types'!$D$81)/INDEX(Physician_Type_Visit_Minutes,MATCH(July!B63,Physician_Type_Practice,0))</f>
        <v>0</v>
      </c>
      <c r="I63" s="43">
        <f t="shared" si="7"/>
        <v>0</v>
      </c>
      <c r="J63" s="10">
        <f>E63*'Physician Types'!$E$4</f>
        <v>145.32035287807307</v>
      </c>
      <c r="K63" s="10">
        <f t="shared" si="8"/>
        <v>0</v>
      </c>
    </row>
    <row r="64" spans="1:11" x14ac:dyDescent="0.2">
      <c r="A64" s="158">
        <v>6</v>
      </c>
      <c r="B64" s="128" t="s">
        <v>138</v>
      </c>
      <c r="C64" s="5">
        <f t="array" ref="C64">SUMIFS(Physician_Visit_July,Physician_Visit_Practice,July!B64,Physician_Visit_Hospitalists, "&lt;&gt;"&amp;'Physician Types'!$D$81)+SUMIFS(Physician_Visit_July,Physician_Visit_Practice,July!B64,Physician_Visit_Hospitalists,'Physician Types'!$D$81)*INDEX(Physician_Type_Hospitalists_Visit_Minutes,MATCH(July!B64,Physician_Type_Practice,0))/INDEX(Physician_Type_Visit_Minutes,MATCH(July!B64,Physician_Type_Practice,0)) +SUMIF(Physician_Minutes_Practice,July!B64,Physician_Minutes_July)/INDEX(Physician_Type_Visit_Minutes,MATCH(July!B64,Physician_Type_Practice,0))</f>
        <v>0</v>
      </c>
      <c r="D64" s="43">
        <f t="shared" si="5"/>
        <v>0</v>
      </c>
      <c r="E64" s="17">
        <f>INDEX(Physician_Type_Bed_Rate,MATCH(July!B64,Physician_Type_Practice,0))*'Hospital Input Page'!$C$4</f>
        <v>5782.7586029778467</v>
      </c>
      <c r="F64" s="9">
        <f t="shared" si="9"/>
        <v>0</v>
      </c>
      <c r="H64" s="5">
        <f t="array" ref="H64">SUMIFS(Physician_Visit_July, Physician_Visit_Practice, July!B64, Independent_Contractor_Visits,  'Physician Types'!$D$81) + SUMIFS(Physician_Minutes_July,Physician_Minutes_Practice,July!B64, Independent_Contractor_Minutes, 'Physician Types'!$D$81)/INDEX(Physician_Type_Visit_Minutes,MATCH(July!B64,Physician_Type_Practice,0))</f>
        <v>0</v>
      </c>
      <c r="I64" s="43">
        <f t="shared" si="7"/>
        <v>0</v>
      </c>
      <c r="J64" s="10">
        <f>E64*'Physician Types'!$E$4</f>
        <v>173.48275808933539</v>
      </c>
      <c r="K64" s="10">
        <f t="shared" si="8"/>
        <v>0</v>
      </c>
    </row>
    <row r="65" spans="1:13" x14ac:dyDescent="0.2">
      <c r="A65" s="158">
        <v>2</v>
      </c>
      <c r="B65" s="107" t="s">
        <v>42</v>
      </c>
      <c r="C65" s="5">
        <f t="array" ref="C65">SUMIFS(Physician_Visit_July,Physician_Visit_Practice,July!B65,Physician_Visit_Hospitalists, "&lt;&gt;"&amp;'Physician Types'!$D$81)+SUMIFS(Physician_Visit_July,Physician_Visit_Practice,July!B65,Physician_Visit_Hospitalists,'Physician Types'!$D$81)*INDEX(Physician_Type_Hospitalists_Visit_Minutes,MATCH(July!B65,Physician_Type_Practice,0))/INDEX(Physician_Type_Visit_Minutes,MATCH(July!B65,Physician_Type_Practice,0)) +SUMIF(Physician_Minutes_Practice,July!B65,Physician_Minutes_July)/INDEX(Physician_Type_Visit_Minutes,MATCH(July!B65,Physician_Type_Practice,0))</f>
        <v>0</v>
      </c>
      <c r="D65" s="43">
        <f t="shared" si="5"/>
        <v>0</v>
      </c>
      <c r="E65" s="17">
        <f>INDEX(Physician_Type_Bed_Rate,MATCH(July!B65,Physician_Type_Practice,0))*'Hospital Input Page'!$C$4</f>
        <v>1487.1623541914003</v>
      </c>
      <c r="F65" s="9">
        <f t="shared" si="9"/>
        <v>0</v>
      </c>
      <c r="H65" s="5">
        <f t="array" ref="H65">SUMIFS(Physician_Visit_July, Physician_Visit_Practice, July!B65, Independent_Contractor_Visits,  'Physician Types'!$D$81) + SUMIFS(Physician_Minutes_July,Physician_Minutes_Practice,July!B65, Independent_Contractor_Minutes, 'Physician Types'!$D$81)/INDEX(Physician_Type_Visit_Minutes,MATCH(July!B65,Physician_Type_Practice,0))</f>
        <v>0</v>
      </c>
      <c r="I65" s="43">
        <f t="shared" si="7"/>
        <v>0</v>
      </c>
      <c r="J65" s="10">
        <f>E65*'Physician Types'!$E$4</f>
        <v>44.614870625742007</v>
      </c>
      <c r="K65" s="10">
        <f t="shared" si="8"/>
        <v>0</v>
      </c>
    </row>
    <row r="66" spans="1:13" x14ac:dyDescent="0.2">
      <c r="A66" s="158">
        <v>5</v>
      </c>
      <c r="B66" s="102" t="s">
        <v>64</v>
      </c>
      <c r="C66" s="5">
        <f t="array" ref="C66">SUMIFS(Physician_Visit_July,Physician_Visit_Practice,July!B66,Physician_Visit_Hospitalists, "&lt;&gt;"&amp;'Physician Types'!$D$81)+SUMIFS(Physician_Visit_July,Physician_Visit_Practice,July!B66,Physician_Visit_Hospitalists,'Physician Types'!$D$81)*INDEX(Physician_Type_Hospitalists_Visit_Minutes,MATCH(July!B66,Physician_Type_Practice,0))/INDEX(Physician_Type_Visit_Minutes,MATCH(July!B66,Physician_Type_Practice,0)) +SUMIF(Physician_Minutes_Practice,July!B66,Physician_Minutes_July)/INDEX(Physician_Type_Visit_Minutes,MATCH(July!B66,Physician_Type_Practice,0))</f>
        <v>0</v>
      </c>
      <c r="D66" s="43">
        <f t="shared" si="5"/>
        <v>0</v>
      </c>
      <c r="E66" s="17">
        <f>INDEX(Physician_Type_Bed_Rate,MATCH(July!B66,Physician_Type_Practice,0))*'Hospital Input Page'!$C$4</f>
        <v>2406.3926282388406</v>
      </c>
      <c r="F66" s="9">
        <f t="shared" si="9"/>
        <v>0</v>
      </c>
      <c r="H66" s="5">
        <f t="array" ref="H66">SUMIFS(Physician_Visit_July, Physician_Visit_Practice, July!B66, Independent_Contractor_Visits,  'Physician Types'!$D$81) + SUMIFS(Physician_Minutes_July,Physician_Minutes_Practice,July!B66, Independent_Contractor_Minutes, 'Physician Types'!$D$81)/INDEX(Physician_Type_Visit_Minutes,MATCH(July!B66,Physician_Type_Practice,0))</f>
        <v>0</v>
      </c>
      <c r="I66" s="43">
        <f t="shared" si="7"/>
        <v>0</v>
      </c>
      <c r="J66" s="10">
        <f>E66*'Physician Types'!$E$4</f>
        <v>72.19177884716521</v>
      </c>
      <c r="K66" s="10">
        <f t="shared" si="8"/>
        <v>0</v>
      </c>
    </row>
    <row r="67" spans="1:13" x14ac:dyDescent="0.2">
      <c r="A67" s="158">
        <v>5</v>
      </c>
      <c r="B67" s="102" t="s">
        <v>65</v>
      </c>
      <c r="C67" s="5">
        <f t="array" ref="C67">SUMIFS(Physician_Visit_July,Physician_Visit_Practice,July!B67,Physician_Visit_Hospitalists, "&lt;&gt;"&amp;'Physician Types'!$D$81)+SUMIFS(Physician_Visit_July,Physician_Visit_Practice,July!B67,Physician_Visit_Hospitalists,'Physician Types'!$D$81)*INDEX(Physician_Type_Hospitalists_Visit_Minutes,MATCH(July!B67,Physician_Type_Practice,0))/INDEX(Physician_Type_Visit_Minutes,MATCH(July!B67,Physician_Type_Practice,0)) +SUMIF(Physician_Minutes_Practice,July!B67,Physician_Minutes_July)/INDEX(Physician_Type_Visit_Minutes,MATCH(July!B67,Physician_Type_Practice,0))</f>
        <v>0</v>
      </c>
      <c r="D67" s="43">
        <f t="shared" si="5"/>
        <v>0</v>
      </c>
      <c r="E67" s="17">
        <f>INDEX(Physician_Type_Bed_Rate,MATCH(July!B67,Physician_Type_Practice,0))*'Hospital Input Page'!$C$4</f>
        <v>1487.1623541914003</v>
      </c>
      <c r="F67" s="9">
        <f t="shared" si="9"/>
        <v>0</v>
      </c>
      <c r="H67" s="5">
        <f t="array" ref="H67">SUMIFS(Physician_Visit_July, Physician_Visit_Practice, July!B67, Independent_Contractor_Visits,  'Physician Types'!$D$81) + SUMIFS(Physician_Minutes_July,Physician_Minutes_Practice,July!B67, Independent_Contractor_Minutes, 'Physician Types'!$D$81)/INDEX(Physician_Type_Visit_Minutes,MATCH(July!B67,Physician_Type_Practice,0))</f>
        <v>0</v>
      </c>
      <c r="I67" s="43">
        <f t="shared" si="7"/>
        <v>0</v>
      </c>
      <c r="J67" s="10">
        <f>E67*'Physician Types'!$E$4</f>
        <v>44.614870625742007</v>
      </c>
      <c r="K67" s="10">
        <f t="shared" si="8"/>
        <v>0</v>
      </c>
    </row>
    <row r="68" spans="1:13" x14ac:dyDescent="0.2">
      <c r="A68" s="158">
        <v>5</v>
      </c>
      <c r="B68" s="102" t="s">
        <v>66</v>
      </c>
      <c r="C68" s="5">
        <f t="array" ref="C68">SUMIFS(Physician_Visit_July,Physician_Visit_Practice,July!B68,Physician_Visit_Hospitalists, "&lt;&gt;"&amp;'Physician Types'!$D$81)+SUMIFS(Physician_Visit_July,Physician_Visit_Practice,July!B68,Physician_Visit_Hospitalists,'Physician Types'!$D$81)*INDEX(Physician_Type_Hospitalists_Visit_Minutes,MATCH(July!B68,Physician_Type_Practice,0))/INDEX(Physician_Type_Visit_Minutes,MATCH(July!B68,Physician_Type_Practice,0)) +SUMIF(Physician_Minutes_Practice,July!B68,Physician_Minutes_July)/INDEX(Physician_Type_Visit_Minutes,MATCH(July!B68,Physician_Type_Practice,0))</f>
        <v>0</v>
      </c>
      <c r="D68" s="43">
        <f t="shared" si="5"/>
        <v>0</v>
      </c>
      <c r="E68" s="17">
        <f>INDEX(Physician_Type_Bed_Rate,MATCH(July!B68,Physician_Type_Practice,0))*'Hospital Input Page'!$C$4</f>
        <v>4644.9427860571295</v>
      </c>
      <c r="F68" s="9">
        <f t="shared" si="9"/>
        <v>0</v>
      </c>
      <c r="H68" s="5">
        <f t="array" ref="H68">SUMIFS(Physician_Visit_July, Physician_Visit_Practice, July!B68, Independent_Contractor_Visits,  'Physician Types'!$D$81) + SUMIFS(Physician_Minutes_July,Physician_Minutes_Practice,July!B68, Independent_Contractor_Minutes, 'Physician Types'!$D$81)/INDEX(Physician_Type_Visit_Minutes,MATCH(July!B68,Physician_Type_Practice,0))</f>
        <v>0</v>
      </c>
      <c r="I68" s="43">
        <f t="shared" si="7"/>
        <v>0</v>
      </c>
      <c r="J68" s="10">
        <f>E68*'Physician Types'!$E$4</f>
        <v>139.34828358171387</v>
      </c>
      <c r="K68" s="10">
        <f t="shared" si="8"/>
        <v>0</v>
      </c>
    </row>
    <row r="69" spans="1:13" x14ac:dyDescent="0.2">
      <c r="A69" s="158">
        <v>2</v>
      </c>
      <c r="B69" s="107" t="s">
        <v>43</v>
      </c>
      <c r="C69" s="5">
        <f t="array" ref="C69">SUMIFS(Physician_Visit_July,Physician_Visit_Practice,July!B69,Physician_Visit_Hospitalists, "&lt;&gt;"&amp;'Physician Types'!$D$81)+SUMIFS(Physician_Visit_July,Physician_Visit_Practice,July!B69,Physician_Visit_Hospitalists,'Physician Types'!$D$81)*INDEX(Physician_Type_Hospitalists_Visit_Minutes,MATCH(July!B69,Physician_Type_Practice,0))/INDEX(Physician_Type_Visit_Minutes,MATCH(July!B69,Physician_Type_Practice,0)) +SUMIF(Physician_Minutes_Practice,July!B69,Physician_Minutes_July)/INDEX(Physician_Type_Visit_Minutes,MATCH(July!B69,Physician_Type_Practice,0))</f>
        <v>0</v>
      </c>
      <c r="D69" s="43">
        <f t="shared" si="5"/>
        <v>0</v>
      </c>
      <c r="E69" s="17">
        <f>INDEX(Physician_Type_Bed_Rate,MATCH(July!B69,Physician_Type_Practice,0))*'Hospital Input Page'!$C$4</f>
        <v>2539.1052792690443</v>
      </c>
      <c r="F69" s="9">
        <f t="shared" si="9"/>
        <v>0</v>
      </c>
      <c r="H69" s="5">
        <f t="array" ref="H69">SUMIFS(Physician_Visit_July, Physician_Visit_Practice, July!B69, Independent_Contractor_Visits,  'Physician Types'!$D$81) + SUMIFS(Physician_Minutes_July,Physician_Minutes_Practice,July!B69, Independent_Contractor_Minutes, 'Physician Types'!$D$81)/INDEX(Physician_Type_Visit_Minutes,MATCH(July!B69,Physician_Type_Practice,0))</f>
        <v>0</v>
      </c>
      <c r="I69" s="43">
        <f t="shared" si="7"/>
        <v>0</v>
      </c>
      <c r="J69" s="10">
        <f>E69*'Physician Types'!$E$4</f>
        <v>76.173158378071321</v>
      </c>
      <c r="K69" s="10">
        <f t="shared" si="8"/>
        <v>0</v>
      </c>
    </row>
    <row r="70" spans="1:13" x14ac:dyDescent="0.2">
      <c r="A70" s="158">
        <v>2</v>
      </c>
      <c r="B70" s="107" t="s">
        <v>44</v>
      </c>
      <c r="C70" s="5">
        <f t="array" ref="C70">SUMIFS(Physician_Visit_July,Physician_Visit_Practice,July!B70,Physician_Visit_Hospitalists, "&lt;&gt;"&amp;'Physician Types'!$D$81)+SUMIFS(Physician_Visit_July,Physician_Visit_Practice,July!B70,Physician_Visit_Hospitalists,'Physician Types'!$D$81)*INDEX(Physician_Type_Hospitalists_Visit_Minutes,MATCH(July!B70,Physician_Type_Practice,0))/INDEX(Physician_Type_Visit_Minutes,MATCH(July!B70,Physician_Type_Practice,0)) +SUMIF(Physician_Minutes_Practice,July!B70,Physician_Minutes_July)/INDEX(Physician_Type_Visit_Minutes,MATCH(July!B70,Physician_Type_Practice,0))</f>
        <v>0</v>
      </c>
      <c r="D70" s="43">
        <f t="shared" si="5"/>
        <v>0</v>
      </c>
      <c r="E70" s="17">
        <f>INDEX(Physician_Type_Bed_Rate,MATCH(July!B70,Physician_Type_Practice,0))*'Hospital Input Page'!$C$4</f>
        <v>1619.8750052216039</v>
      </c>
      <c r="F70" s="9">
        <f t="shared" si="9"/>
        <v>0</v>
      </c>
      <c r="H70" s="5">
        <f t="array" ref="H70">SUMIFS(Physician_Visit_July, Physician_Visit_Practice, July!B70, Independent_Contractor_Visits,  'Physician Types'!$D$81) + SUMIFS(Physician_Minutes_July,Physician_Minutes_Practice,July!B70, Independent_Contractor_Minutes, 'Physician Types'!$D$81)/INDEX(Physician_Type_Visit_Minutes,MATCH(July!B70,Physician_Type_Practice,0))</f>
        <v>0</v>
      </c>
      <c r="I70" s="43">
        <f t="shared" si="7"/>
        <v>0</v>
      </c>
      <c r="J70" s="10">
        <f>E70*'Physician Types'!$E$4</f>
        <v>48.596250156648118</v>
      </c>
      <c r="K70" s="10">
        <f t="shared" si="8"/>
        <v>0</v>
      </c>
    </row>
    <row r="71" spans="1:13" x14ac:dyDescent="0.2">
      <c r="A71" s="158">
        <v>2</v>
      </c>
      <c r="B71" s="161" t="s">
        <v>154</v>
      </c>
      <c r="C71" s="5">
        <f t="array" ref="C71">SUMIFS(Physician_Visit_July,Physician_Visit_Practice,July!B71,Physician_Visit_Hospitalists, "&lt;&gt;"&amp;'Physician Types'!$D$81)+SUMIFS(Physician_Visit_July,Physician_Visit_Practice,July!B71,Physician_Visit_Hospitalists,'Physician Types'!$D$81)*INDEX(Physician_Type_Hospitalists_Visit_Minutes,MATCH(July!B71,Physician_Type_Practice,0))/INDEX(Physician_Type_Visit_Minutes,MATCH(July!B71,Physician_Type_Practice,0)) +SUMIF(Physician_Minutes_Practice,July!B71,Physician_Minutes_July)/INDEX(Physician_Type_Visit_Minutes,MATCH(July!B71,Physician_Type_Practice,0))</f>
        <v>0</v>
      </c>
      <c r="D71" s="43">
        <f t="shared" si="5"/>
        <v>0</v>
      </c>
      <c r="E71" s="17">
        <f>INDEX(Physician_Type_Bed_Rate,MATCH(July!B71,Physician_Type_Practice,0))*'Hospital Input Page'!$C$4</f>
        <v>1951.6566327971132</v>
      </c>
      <c r="F71" s="9">
        <f t="shared" si="9"/>
        <v>0</v>
      </c>
      <c r="H71" s="5">
        <f t="array" ref="H71">SUMIFS(Physician_Visit_July, Physician_Visit_Practice, July!B71, Independent_Contractor_Visits,  'Physician Types'!$D$81) + SUMIFS(Physician_Minutes_July,Physician_Minutes_Practice,July!B71, Independent_Contractor_Minutes, 'Physician Types'!$D$81)/INDEX(Physician_Type_Visit_Minutes,MATCH(July!B71,Physician_Type_Practice,0))</f>
        <v>0</v>
      </c>
      <c r="I71" s="43">
        <f t="shared" si="7"/>
        <v>0</v>
      </c>
      <c r="J71" s="10">
        <f>E71*'Physician Types'!$E$4</f>
        <v>58.549698983913395</v>
      </c>
      <c r="K71" s="10">
        <f t="shared" si="8"/>
        <v>0</v>
      </c>
    </row>
    <row r="72" spans="1:13" x14ac:dyDescent="0.2">
      <c r="A72" s="158">
        <v>4</v>
      </c>
      <c r="B72" s="102" t="s">
        <v>62</v>
      </c>
      <c r="C72" s="5">
        <f>SUMIFS(Physician_Visit_July,Physician_Visit_Practice,July!B72,Physician_Visit_Hospitalists, "&lt;&gt;"&amp;'Physician Types'!$D$81)+SUMIFS(Physician_Visit_July,Physician_Visit_Practice,July!B72,Physician_Visit_Hospitalists,'Physician Types'!$D$81)*INDEX(Physician_Type_Hospitalists_Visit_Minutes,MATCH(July!B72,Physician_Type_Practice,0))/INDEX(Physician_Type_Visit_Minutes,MATCH(July!B72,Physician_Type_Practice,0)) +SUMIF(Physician_Minutes_Practice,July!B72,Physician_Minutes_July)/INDEX(Physician_Type_Visit_Minutes,MATCH(July!B72,Physician_Type_Practice,0))</f>
        <v>0</v>
      </c>
      <c r="D72" s="43">
        <f t="shared" si="5"/>
        <v>0</v>
      </c>
      <c r="E72" s="17">
        <f>INDEX(Physician_Type_Bed_Rate,MATCH(July!B72,Physician_Type_Practice,0))*'Hospital Input Page'!$C$4</f>
        <v>2529.3469961050587</v>
      </c>
      <c r="F72" s="9">
        <f t="shared" si="9"/>
        <v>0</v>
      </c>
      <c r="H72" s="5">
        <f t="array" ref="H72">SUMIFS(Physician_Visit_July, Physician_Visit_Practice, July!B72, Independent_Contractor_Visits,  'Physician Types'!$D$81) + SUMIFS(Physician_Minutes_July,Physician_Minutes_Practice,July!B72, Independent_Contractor_Minutes, 'Physician Types'!$D$81)/INDEX(Physician_Type_Visit_Minutes,MATCH(July!B72,Physician_Type_Practice,0))</f>
        <v>0</v>
      </c>
      <c r="I72" s="43">
        <f t="shared" si="7"/>
        <v>0</v>
      </c>
      <c r="J72" s="10">
        <f>E72*'Physician Types'!$E$4</f>
        <v>75.880409883151756</v>
      </c>
      <c r="K72" s="10">
        <f t="shared" si="8"/>
        <v>0</v>
      </c>
      <c r="L72" s="10"/>
      <c r="M72" s="5"/>
    </row>
    <row r="73" spans="1:13" x14ac:dyDescent="0.2">
      <c r="A73" s="158">
        <v>2</v>
      </c>
      <c r="B73" s="107" t="s">
        <v>45</v>
      </c>
      <c r="C73" s="5">
        <f t="array" ref="C73">SUMIFS(Physician_Visit_July,Physician_Visit_Practice,July!B73,Physician_Visit_Hospitalists, "&lt;&gt;"&amp;'Physician Types'!$D$81)+SUMIFS(Physician_Visit_July,Physician_Visit_Practice,July!B73,Physician_Visit_Hospitalists,'Physician Types'!$D$81)*INDEX(Physician_Type_Hospitalists_Visit_Minutes,MATCH(July!B73,Physician_Type_Practice,0))/INDEX(Physician_Type_Visit_Minutes,MATCH(July!B73,Physician_Type_Practice,0)) +SUMIF(Physician_Minutes_Practice,July!B73,Physician_Minutes_July)/INDEX(Physician_Type_Visit_Minutes,MATCH(July!B73,Physician_Type_Practice,0))</f>
        <v>0</v>
      </c>
      <c r="D73" s="43">
        <f t="shared" si="5"/>
        <v>0</v>
      </c>
      <c r="E73" s="17">
        <f>INDEX(Physician_Type_Bed_Rate,MATCH(July!B73,Physician_Type_Practice,0))*'Hospital Input Page'!$C$4</f>
        <v>4844.0117626024357</v>
      </c>
      <c r="F73" s="9">
        <f t="shared" si="9"/>
        <v>0</v>
      </c>
      <c r="H73" s="5">
        <f t="array" ref="H73">SUMIFS(Physician_Visit_July, Physician_Visit_Practice, July!B73, Independent_Contractor_Visits,  'Physician Types'!$D$81) + SUMIFS(Physician_Minutes_July,Physician_Minutes_Practice,July!B73, Independent_Contractor_Minutes, 'Physician Types'!$D$81)/INDEX(Physician_Type_Visit_Minutes,MATCH(July!B73,Physician_Type_Practice,0))</f>
        <v>0</v>
      </c>
      <c r="I73" s="43">
        <f t="shared" si="7"/>
        <v>0</v>
      </c>
      <c r="J73" s="10">
        <f>E73*'Physician Types'!$E$4</f>
        <v>145.32035287807307</v>
      </c>
      <c r="K73" s="10">
        <f t="shared" si="8"/>
        <v>0</v>
      </c>
    </row>
    <row r="74" spans="1:13" x14ac:dyDescent="0.2">
      <c r="A74" s="158">
        <v>4</v>
      </c>
      <c r="B74" s="107" t="s">
        <v>63</v>
      </c>
      <c r="C74" s="5">
        <f t="array" ref="C74">SUMIFS(Physician_Visit_July,Physician_Visit_Practice,July!B74,Physician_Visit_Hospitalists, "&lt;&gt;"&amp;'Physician Types'!$D$81)+SUMIFS(Physician_Visit_July,Physician_Visit_Practice,July!B74,Physician_Visit_Hospitalists,'Physician Types'!$D$81)*INDEX(Physician_Type_Hospitalists_Visit_Minutes,MATCH(July!B74,Physician_Type_Practice,0))/INDEX(Physician_Type_Visit_Minutes,MATCH(July!B74,Physician_Type_Practice,0)) +SUMIF(Physician_Minutes_Practice,July!B74,Physician_Minutes_July)/INDEX(Physician_Type_Visit_Minutes,MATCH(July!B74,Physician_Type_Practice,0))</f>
        <v>0</v>
      </c>
      <c r="D74" s="43">
        <f t="shared" si="5"/>
        <v>0</v>
      </c>
      <c r="E74" s="17">
        <f>INDEX(Physician_Type_Bed_Rate,MATCH(July!B74,Physician_Type_Practice,0))*'Hospital Input Page'!$C$4</f>
        <v>2539.1052792690443</v>
      </c>
      <c r="F74" s="9">
        <f t="shared" si="9"/>
        <v>0</v>
      </c>
      <c r="H74" s="5">
        <f t="array" ref="H74">SUMIFS(Physician_Visit_July, Physician_Visit_Practice, July!B74, Independent_Contractor_Visits,  'Physician Types'!$D$81) + SUMIFS(Physician_Minutes_July,Physician_Minutes_Practice,July!B74, Independent_Contractor_Minutes, 'Physician Types'!$D$81)/INDEX(Physician_Type_Visit_Minutes,MATCH(July!B74,Physician_Type_Practice,0))</f>
        <v>0</v>
      </c>
      <c r="I74" s="43">
        <f t="shared" si="7"/>
        <v>0</v>
      </c>
      <c r="J74" s="10">
        <f>E74*'Physician Types'!$E$4</f>
        <v>76.173158378071321</v>
      </c>
      <c r="K74" s="10">
        <f t="shared" si="8"/>
        <v>0</v>
      </c>
    </row>
    <row r="75" spans="1:13" x14ac:dyDescent="0.2">
      <c r="A75" s="158">
        <v>2</v>
      </c>
      <c r="B75" s="107" t="s">
        <v>46</v>
      </c>
      <c r="C75" s="5">
        <f t="array" ref="C75">SUMIFS(Physician_Visit_July,Physician_Visit_Practice,July!B75,Physician_Visit_Hospitalists, "&lt;&gt;"&amp;'Physician Types'!$D$81)+SUMIFS(Physician_Visit_July,Physician_Visit_Practice,July!B75,Physician_Visit_Hospitalists,'Physician Types'!$D$81)*INDEX(Physician_Type_Hospitalists_Visit_Minutes,MATCH(July!B75,Physician_Type_Practice,0))/INDEX(Physician_Type_Visit_Minutes,MATCH(July!B75,Physician_Type_Practice,0)) +SUMIF(Physician_Minutes_Practice,July!B75,Physician_Minutes_July)/INDEX(Physician_Type_Visit_Minutes,MATCH(July!B75,Physician_Type_Practice,0))</f>
        <v>0</v>
      </c>
      <c r="D75" s="43">
        <f t="shared" si="5"/>
        <v>0</v>
      </c>
      <c r="E75" s="17">
        <f>INDEX(Physician_Type_Bed_Rate,MATCH(July!B75,Physician_Type_Practice,0))*'Hospital Input Page'!$C$4</f>
        <v>1619.8750052216039</v>
      </c>
      <c r="F75" s="9">
        <f t="shared" si="9"/>
        <v>0</v>
      </c>
      <c r="H75" s="5">
        <f t="array" ref="H75">SUMIFS(Physician_Visit_July, Physician_Visit_Practice, July!B75, Independent_Contractor_Visits,  'Physician Types'!$D$81) + SUMIFS(Physician_Minutes_July,Physician_Minutes_Practice,July!B75, Independent_Contractor_Minutes, 'Physician Types'!$D$81)/INDEX(Physician_Type_Visit_Minutes,MATCH(July!B75,Physician_Type_Practice,0))</f>
        <v>0</v>
      </c>
      <c r="I75" s="43">
        <f t="shared" si="7"/>
        <v>0</v>
      </c>
      <c r="J75" s="10">
        <f>E75*'Physician Types'!$E$4</f>
        <v>48.596250156648118</v>
      </c>
      <c r="K75" s="10">
        <f t="shared" si="8"/>
        <v>0</v>
      </c>
    </row>
    <row r="76" spans="1:13" x14ac:dyDescent="0.2">
      <c r="A76" s="158">
        <v>3</v>
      </c>
      <c r="B76" s="102" t="s">
        <v>54</v>
      </c>
      <c r="C76" s="5">
        <f t="array" ref="C76">SUMIFS(Physician_Visit_July,Physician_Visit_Practice,July!B76,Physician_Visit_Hospitalists, "&lt;&gt;"&amp;'Physician Types'!$D$81)+SUMIFS(Physician_Visit_July,Physician_Visit_Practice,July!B76,Physician_Visit_Hospitalists,'Physician Types'!$D$81)*INDEX(Physician_Type_Hospitalists_Visit_Minutes,MATCH(July!B76,Physician_Type_Practice,0))/INDEX(Physician_Type_Visit_Minutes,MATCH(July!B76,Physician_Type_Practice,0)) +SUMIF(Physician_Minutes_Practice,July!B76,Physician_Minutes_July)/INDEX(Physician_Type_Visit_Minutes,MATCH(July!B76,Physician_Type_Practice,0))</f>
        <v>0</v>
      </c>
      <c r="D76" s="43">
        <f t="shared" si="5"/>
        <v>0</v>
      </c>
      <c r="E76" s="17">
        <f>INDEX(Physician_Type_Bed_Rate,MATCH(July!B76,Physician_Type_Practice,0))*'Hospital Input Page'!$C$4</f>
        <v>2699.1411231584075</v>
      </c>
      <c r="F76" s="9">
        <f t="shared" si="9"/>
        <v>0</v>
      </c>
      <c r="H76" s="5">
        <f t="array" ref="H76">SUMIFS(Physician_Visit_July, Physician_Visit_Practice, July!B76, Independent_Contractor_Visits,  'Physician Types'!$D$81) + SUMIFS(Physician_Minutes_July,Physician_Minutes_Practice,July!B76, Independent_Contractor_Minutes, 'Physician Types'!$D$81)/INDEX(Physician_Type_Visit_Minutes,MATCH(July!B76,Physician_Type_Practice,0))</f>
        <v>0</v>
      </c>
      <c r="I76" s="43">
        <f t="shared" si="7"/>
        <v>0</v>
      </c>
      <c r="J76" s="10">
        <f>E76*'Physician Types'!$E$4</f>
        <v>80.974233694752215</v>
      </c>
      <c r="K76" s="10">
        <f t="shared" si="8"/>
        <v>0</v>
      </c>
    </row>
    <row r="77" spans="1:13" x14ac:dyDescent="0.2">
      <c r="A77" s="158">
        <v>3</v>
      </c>
      <c r="B77" s="102" t="s">
        <v>55</v>
      </c>
      <c r="C77" s="5">
        <f t="array" ref="C77">SUMIFS(Physician_Visit_July,Physician_Visit_Practice,July!B77,Physician_Visit_Hospitalists, "&lt;&gt;"&amp;'Physician Types'!$D$81)+SUMIFS(Physician_Visit_July,Physician_Visit_Practice,July!B77,Physician_Visit_Hospitalists,'Physician Types'!$D$81)*INDEX(Physician_Type_Hospitalists_Visit_Minutes,MATCH(July!B77,Physician_Type_Practice,0))/INDEX(Physician_Type_Visit_Minutes,MATCH(July!B77,Physician_Type_Practice,0)) +SUMIF(Physician_Minutes_Practice,July!B77,Physician_Minutes_July)/INDEX(Physician_Type_Visit_Minutes,MATCH(July!B77,Physician_Type_Practice,0))</f>
        <v>0</v>
      </c>
      <c r="D77" s="43">
        <f t="shared" si="5"/>
        <v>0</v>
      </c>
      <c r="E77" s="17">
        <f>INDEX(Physician_Type_Bed_Rate,MATCH(July!B77,Physician_Type_Practice,0))*'Hospital Input Page'!$C$4</f>
        <v>2222.9369047559121</v>
      </c>
      <c r="F77" s="9">
        <f t="shared" si="9"/>
        <v>0</v>
      </c>
      <c r="H77" s="5">
        <f t="array" ref="H77">SUMIFS(Physician_Visit_July, Physician_Visit_Practice, July!B77, Independent_Contractor_Visits,  'Physician Types'!$D$81) + SUMIFS(Physician_Minutes_July,Physician_Minutes_Practice,July!B77, Independent_Contractor_Minutes, 'Physician Types'!$D$81)/INDEX(Physician_Type_Visit_Minutes,MATCH(July!B77,Physician_Type_Practice,0))</f>
        <v>0</v>
      </c>
      <c r="I77" s="43">
        <f t="shared" si="7"/>
        <v>0</v>
      </c>
      <c r="J77" s="10">
        <f>E77*'Physician Types'!$E$4</f>
        <v>66.688107142677367</v>
      </c>
      <c r="K77" s="10">
        <f t="shared" si="8"/>
        <v>0</v>
      </c>
    </row>
    <row r="78" spans="1:13" x14ac:dyDescent="0.2">
      <c r="A78" s="158">
        <v>8</v>
      </c>
      <c r="B78" s="102" t="s">
        <v>77</v>
      </c>
      <c r="C78" s="5">
        <f t="array" ref="C78">SUMIFS(Physician_Visit_July,Physician_Visit_Practice,July!B78,Physician_Visit_Hospitalists, "&lt;&gt;"&amp;'Physician Types'!$D$81)+SUMIFS(Physician_Visit_July,Physician_Visit_Practice,July!B78,Physician_Visit_Hospitalists,'Physician Types'!$D$81)*INDEX(Physician_Type_Hospitalists_Visit_Minutes,MATCH(July!B78,Physician_Type_Practice,0))/INDEX(Physician_Type_Visit_Minutes,MATCH(July!B78,Physician_Type_Practice,0)) +SUMIF(Physician_Minutes_Practice,July!B78,Physician_Minutes_July)/INDEX(Physician_Type_Visit_Minutes,MATCH(July!B78,Physician_Type_Practice,0))</f>
        <v>0</v>
      </c>
      <c r="D78" s="43">
        <f t="shared" ref="D78:D110" si="10">C78*INDEX(Physician_Type_Visit_Minutes,MATCH(B78,Physician_Type_Practice,0))/INDEX(Physician_Type_FTE_Minutes,MATCH(B78,Physician_Type_Practice,0))</f>
        <v>0</v>
      </c>
      <c r="E78" s="17">
        <f>INDEX(Physician_Type_Bed_Rate,MATCH(July!B78,Physician_Type_Practice,0))*'Hospital Input Page'!$C$4</f>
        <v>11024.908318670894</v>
      </c>
      <c r="F78" s="9">
        <f t="shared" si="9"/>
        <v>0</v>
      </c>
      <c r="H78" s="5">
        <f t="array" ref="H78">SUMIFS(Physician_Visit_July, Physician_Visit_Practice, July!B78, Independent_Contractor_Visits,  'Physician Types'!$D$81) + SUMIFS(Physician_Minutes_July,Physician_Minutes_Practice,July!B78, Independent_Contractor_Minutes, 'Physician Types'!$D$81)/INDEX(Physician_Type_Visit_Minutes,MATCH(July!B78,Physician_Type_Practice,0))</f>
        <v>0</v>
      </c>
      <c r="I78" s="43">
        <f t="shared" ref="I78:I110" si="11">H78*INDEX(Physician_Type_Visit_Minutes,MATCH(B78,Physician_Type_Practice,0))/INDEX(Physician_Type_FTE_Minutes,MATCH(B78,Physician_Type_Practice,0))</f>
        <v>0</v>
      </c>
      <c r="J78" s="10">
        <f>E78*'Physician Types'!$E$4</f>
        <v>330.74724956012682</v>
      </c>
      <c r="K78" s="10">
        <f t="shared" si="8"/>
        <v>0</v>
      </c>
    </row>
    <row r="79" spans="1:13" x14ac:dyDescent="0.2">
      <c r="A79" s="158"/>
      <c r="B79" s="102" t="s">
        <v>79</v>
      </c>
      <c r="C79" s="5">
        <f t="array" ref="C79">SUMIFS(Physician_Visit_July,Physician_Visit_Practice,July!B79,Physician_Visit_Hospitalists, "&lt;&gt;"&amp;'Physician Types'!$D$81)+SUMIFS(Physician_Visit_July,Physician_Visit_Practice,July!B79,Physician_Visit_Hospitalists,'Physician Types'!$D$81)*INDEX(Physician_Type_Hospitalists_Visit_Minutes,MATCH(July!B79,Physician_Type_Practice,0))/INDEX(Physician_Type_Visit_Minutes,MATCH(July!B79,Physician_Type_Practice,0)) +SUMIF(Physician_Minutes_Practice,July!B79,Physician_Minutes_July)/INDEX(Physician_Type_Visit_Minutes,MATCH(July!B79,Physician_Type_Practice,0))</f>
        <v>0</v>
      </c>
      <c r="D79" s="43">
        <f t="shared" si="10"/>
        <v>0</v>
      </c>
      <c r="E79" s="17">
        <f>INDEX(Physician_Type_Bed_Rate,MATCH(July!B79,Physician_Type_Practice,0))*'Hospital Input Page'!$C$4</f>
        <v>858.72891843072989</v>
      </c>
      <c r="F79" s="9">
        <f t="shared" si="9"/>
        <v>0</v>
      </c>
      <c r="H79" s="5">
        <f t="array" ref="H79">SUMIFS(Physician_Visit_July, Physician_Visit_Practice, July!B79, Independent_Contractor_Visits,  'Physician Types'!$D$81) + SUMIFS(Physician_Minutes_July,Physician_Minutes_Practice,July!B79, Independent_Contractor_Minutes, 'Physician Types'!$D$81)/INDEX(Physician_Type_Visit_Minutes,MATCH(July!B79,Physician_Type_Practice,0))</f>
        <v>0</v>
      </c>
      <c r="I79" s="43">
        <f t="shared" si="11"/>
        <v>0</v>
      </c>
      <c r="J79" s="10">
        <f>E79*'Physician Types'!$E$4</f>
        <v>25.761867552921895</v>
      </c>
      <c r="K79" s="10">
        <f t="shared" si="8"/>
        <v>0</v>
      </c>
    </row>
    <row r="80" spans="1:13" x14ac:dyDescent="0.2">
      <c r="A80" s="158">
        <v>5</v>
      </c>
      <c r="B80" s="102" t="s">
        <v>67</v>
      </c>
      <c r="C80" s="5">
        <f t="array" ref="C80">SUMIFS(Physician_Visit_July,Physician_Visit_Practice,July!B80,Physician_Visit_Hospitalists, "&lt;&gt;"&amp;'Physician Types'!$D$81)+SUMIFS(Physician_Visit_July,Physician_Visit_Practice,July!B80,Physician_Visit_Hospitalists,'Physician Types'!$D$81)*INDEX(Physician_Type_Hospitalists_Visit_Minutes,MATCH(July!B80,Physician_Type_Practice,0))/INDEX(Physician_Type_Visit_Minutes,MATCH(July!B80,Physician_Type_Practice,0)) +SUMIF(Physician_Minutes_Practice,July!B80,Physician_Minutes_July)/INDEX(Physician_Type_Visit_Minutes,MATCH(July!B80,Physician_Type_Practice,0))</f>
        <v>0</v>
      </c>
      <c r="D80" s="43">
        <f t="shared" si="10"/>
        <v>0</v>
      </c>
      <c r="E80" s="17">
        <f>INDEX(Physician_Type_Bed_Rate,MATCH(July!B80,Physician_Type_Practice,0))*'Hospital Input Page'!$C$4</f>
        <v>1955.5599460627077</v>
      </c>
      <c r="F80" s="9">
        <f t="shared" si="9"/>
        <v>0</v>
      </c>
      <c r="H80" s="5">
        <f t="array" ref="H80">SUMIFS(Physician_Visit_July, Physician_Visit_Practice, July!B80, Independent_Contractor_Visits,  'Physician Types'!$D$81) + SUMIFS(Physician_Minutes_July,Physician_Minutes_Practice,July!B80, Independent_Contractor_Minutes, 'Physician Types'!$D$81)/INDEX(Physician_Type_Visit_Minutes,MATCH(July!B80,Physician_Type_Practice,0))</f>
        <v>0</v>
      </c>
      <c r="I80" s="43">
        <f t="shared" si="11"/>
        <v>0</v>
      </c>
      <c r="J80" s="10">
        <f>E80*'Physician Types'!$E$4</f>
        <v>58.666798381881229</v>
      </c>
      <c r="K80" s="10">
        <f t="shared" si="8"/>
        <v>0</v>
      </c>
    </row>
    <row r="81" spans="1:13" x14ac:dyDescent="0.2">
      <c r="A81" s="158"/>
      <c r="B81" s="102" t="s">
        <v>80</v>
      </c>
      <c r="C81" s="5">
        <f t="array" ref="C81">SUMIFS(Physician_Visit_July,Physician_Visit_Practice,July!B81,Physician_Visit_Hospitalists, "&lt;&gt;"&amp;'Physician Types'!$D$81)+SUMIFS(Physician_Visit_July,Physician_Visit_Practice,July!B81,Physician_Visit_Hospitalists,'Physician Types'!$D$81)*INDEX(Physician_Type_Hospitalists_Visit_Minutes,MATCH(July!B81,Physician_Type_Practice,0))/INDEX(Physician_Type_Visit_Minutes,MATCH(July!B81,Physician_Type_Practice,0)) +SUMIF(Physician_Minutes_Practice,July!B81,Physician_Minutes_July)/INDEX(Physician_Type_Visit_Minutes,MATCH(July!B81,Physician_Type_Practice,0))</f>
        <v>0</v>
      </c>
      <c r="D81" s="43">
        <f t="shared" si="10"/>
        <v>0</v>
      </c>
      <c r="E81" s="17">
        <f>INDEX(Physician_Type_Bed_Rate,MATCH(July!B81,Physician_Type_Practice,0))*'Hospital Input Page'!$C$4</f>
        <v>493.76912809766964</v>
      </c>
      <c r="F81" s="9">
        <f t="shared" si="9"/>
        <v>0</v>
      </c>
      <c r="H81" s="5">
        <f t="array" ref="H81">SUMIFS(Physician_Visit_July, Physician_Visit_Practice, July!B81, Independent_Contractor_Visits,  'Physician Types'!$D$81) + SUMIFS(Physician_Minutes_July,Physician_Minutes_Practice,July!B81, Independent_Contractor_Minutes, 'Physician Types'!$D$81)/INDEX(Physician_Type_Visit_Minutes,MATCH(July!B81,Physician_Type_Practice,0))</f>
        <v>0</v>
      </c>
      <c r="I81" s="43">
        <f t="shared" si="11"/>
        <v>0</v>
      </c>
      <c r="J81" s="10">
        <f>E81*'Physician Types'!$E$4</f>
        <v>14.813073842930088</v>
      </c>
      <c r="K81" s="10">
        <f t="shared" si="8"/>
        <v>0</v>
      </c>
      <c r="M81" s="73"/>
    </row>
    <row r="82" spans="1:13" x14ac:dyDescent="0.2">
      <c r="A82" s="158">
        <v>8</v>
      </c>
      <c r="B82" s="128" t="s">
        <v>139</v>
      </c>
      <c r="C82" s="5">
        <f t="array" ref="C82">SUMIFS(Physician_Visit_July,Physician_Visit_Practice,July!B82,Physician_Visit_Hospitalists, "&lt;&gt;"&amp;'Physician Types'!$D$81)+SUMIFS(Physician_Visit_July,Physician_Visit_Practice,July!B82,Physician_Visit_Hospitalists,'Physician Types'!$D$81)*INDEX(Physician_Type_Hospitalists_Visit_Minutes,MATCH(July!B82,Physician_Type_Practice,0))/INDEX(Physician_Type_Visit_Minutes,MATCH(July!B82,Physician_Type_Practice,0)) +SUMIF(Physician_Minutes_Practice,July!B82,Physician_Minutes_July)/INDEX(Physician_Type_Visit_Minutes,MATCH(July!B82,Physician_Type_Practice,0))</f>
        <v>0</v>
      </c>
      <c r="D82" s="43">
        <f t="shared" si="10"/>
        <v>0</v>
      </c>
      <c r="E82" s="17">
        <f>INDEX(Physician_Type_Bed_Rate,MATCH(July!B82,Physician_Type_Practice,0))*'Hospital Input Page'!$C$4</f>
        <v>8509.2229189954141</v>
      </c>
      <c r="F82" s="9">
        <f t="shared" si="9"/>
        <v>0</v>
      </c>
      <c r="H82" s="5">
        <f t="array" ref="H82">SUMIFS(Physician_Visit_July, Physician_Visit_Practice, July!B82, Independent_Contractor_Visits,  'Physician Types'!$D$81) + SUMIFS(Physician_Minutes_July,Physician_Minutes_Practice,July!B82, Independent_Contractor_Minutes, 'Physician Types'!$D$81)/INDEX(Physician_Type_Visit_Minutes,MATCH(July!B82,Physician_Type_Practice,0))</f>
        <v>0</v>
      </c>
      <c r="I82" s="43">
        <f t="shared" si="11"/>
        <v>0</v>
      </c>
      <c r="J82" s="10">
        <f>E82*'Physician Types'!$E$4</f>
        <v>255.27668756986242</v>
      </c>
      <c r="K82" s="10">
        <f t="shared" si="8"/>
        <v>0</v>
      </c>
    </row>
    <row r="83" spans="1:13" x14ac:dyDescent="0.2">
      <c r="A83" s="158">
        <v>8</v>
      </c>
      <c r="B83" s="102" t="s">
        <v>78</v>
      </c>
      <c r="C83" s="5">
        <f t="array" ref="C83">SUMIFS(Physician_Visit_July,Physician_Visit_Practice,July!B83,Physician_Visit_Hospitalists, "&lt;&gt;"&amp;'Physician Types'!$D$81)+SUMIFS(Physician_Visit_July,Physician_Visit_Practice,July!B83,Physician_Visit_Hospitalists,'Physician Types'!$D$81)*INDEX(Physician_Type_Hospitalists_Visit_Minutes,MATCH(July!B83,Physician_Type_Practice,0))/INDEX(Physician_Type_Visit_Minutes,MATCH(July!B83,Physician_Type_Practice,0)) +SUMIF(Physician_Minutes_Practice,July!B83,Physician_Minutes_July)/INDEX(Physician_Type_Visit_Minutes,MATCH(July!B83,Physician_Type_Practice,0))</f>
        <v>0</v>
      </c>
      <c r="D83" s="43">
        <f t="shared" si="10"/>
        <v>0</v>
      </c>
      <c r="E83" s="17">
        <f>INDEX(Physician_Type_Bed_Rate,MATCH(July!B83,Physician_Type_Practice,0))*'Hospital Input Page'!$C$4</f>
        <v>8509.2229189954141</v>
      </c>
      <c r="F83" s="9">
        <f t="shared" si="9"/>
        <v>0</v>
      </c>
      <c r="H83" s="5">
        <f t="array" ref="H83">SUMIFS(Physician_Visit_July, Physician_Visit_Practice, July!B83, Independent_Contractor_Visits,  'Physician Types'!$D$81) + SUMIFS(Physician_Minutes_July,Physician_Minutes_Practice,July!B83, Independent_Contractor_Minutes, 'Physician Types'!$D$81)/INDEX(Physician_Type_Visit_Minutes,MATCH(July!B83,Physician_Type_Practice,0))</f>
        <v>0</v>
      </c>
      <c r="I83" s="43">
        <f t="shared" si="11"/>
        <v>0</v>
      </c>
      <c r="J83" s="10">
        <f>E83*'Physician Types'!$E$4</f>
        <v>255.27668756986242</v>
      </c>
      <c r="K83" s="10">
        <f t="shared" si="8"/>
        <v>0</v>
      </c>
    </row>
    <row r="84" spans="1:13" x14ac:dyDescent="0.2">
      <c r="A84" s="158">
        <v>2</v>
      </c>
      <c r="B84" s="107" t="s">
        <v>47</v>
      </c>
      <c r="C84" s="5">
        <f t="array" ref="C84">SUMIFS(Physician_Visit_July,Physician_Visit_Practice,July!B84,Physician_Visit_Hospitalists, "&lt;&gt;"&amp;'Physician Types'!$D$81)+SUMIFS(Physician_Visit_July,Physician_Visit_Practice,July!B84,Physician_Visit_Hospitalists,'Physician Types'!$D$81)*INDEX(Physician_Type_Hospitalists_Visit_Minutes,MATCH(July!B84,Physician_Type_Practice,0))/INDEX(Physician_Type_Visit_Minutes,MATCH(July!B84,Physician_Type_Practice,0)) +SUMIF(Physician_Minutes_Practice,July!B84,Physician_Minutes_July)/INDEX(Physician_Type_Visit_Minutes,MATCH(July!B84,Physician_Type_Practice,0))</f>
        <v>0</v>
      </c>
      <c r="D84" s="43">
        <f t="shared" si="10"/>
        <v>0</v>
      </c>
      <c r="E84" s="17">
        <f>INDEX(Physician_Type_Bed_Rate,MATCH(July!B84,Physician_Type_Practice,0))*'Hospital Input Page'!$C$4</f>
        <v>1727.2161200254454</v>
      </c>
      <c r="F84" s="9">
        <f t="shared" si="9"/>
        <v>0</v>
      </c>
      <c r="H84" s="5">
        <f t="array" ref="H84">SUMIFS(Physician_Visit_July, Physician_Visit_Practice, July!B84, Independent_Contractor_Visits,  'Physician Types'!$D$81) + SUMIFS(Physician_Minutes_July,Physician_Minutes_Practice,July!B84, Independent_Contractor_Minutes, 'Physician Types'!$D$81)/INDEX(Physician_Type_Visit_Minutes,MATCH(July!B84,Physician_Type_Practice,0))</f>
        <v>0</v>
      </c>
      <c r="I84" s="43">
        <f t="shared" si="11"/>
        <v>0</v>
      </c>
      <c r="J84" s="10">
        <f>E84*'Physician Types'!$E$4</f>
        <v>51.816483600763362</v>
      </c>
      <c r="K84" s="10">
        <f t="shared" si="8"/>
        <v>0</v>
      </c>
    </row>
    <row r="85" spans="1:13" x14ac:dyDescent="0.2">
      <c r="A85" s="158">
        <v>3</v>
      </c>
      <c r="B85" s="102" t="s">
        <v>56</v>
      </c>
      <c r="C85" s="5">
        <f t="array" ref="C85">SUMIFS(Physician_Visit_July,Physician_Visit_Practice,July!B85,Physician_Visit_Hospitalists, "&lt;&gt;"&amp;'Physician Types'!$D$81)+SUMIFS(Physician_Visit_July,Physician_Visit_Practice,July!B85,Physician_Visit_Hospitalists,'Physician Types'!$D$81)*INDEX(Physician_Type_Hospitalists_Visit_Minutes,MATCH(July!B85,Physician_Type_Practice,0))/INDEX(Physician_Type_Visit_Minutes,MATCH(July!B85,Physician_Type_Practice,0)) +SUMIF(Physician_Minutes_Practice,July!B85,Physician_Minutes_July)/INDEX(Physician_Type_Visit_Minutes,MATCH(July!B85,Physician_Type_Practice,0))</f>
        <v>0</v>
      </c>
      <c r="D85" s="43">
        <f t="shared" si="10"/>
        <v>0</v>
      </c>
      <c r="E85" s="17">
        <f>INDEX(Physician_Type_Bed_Rate,MATCH(July!B85,Physician_Type_Practice,0))*'Hospital Input Page'!$C$4</f>
        <v>1842.3638613604746</v>
      </c>
      <c r="F85" s="9">
        <f t="shared" si="9"/>
        <v>0</v>
      </c>
      <c r="H85" s="5">
        <f t="array" ref="H85">SUMIFS(Physician_Visit_July, Physician_Visit_Practice, July!B85, Independent_Contractor_Visits,  'Physician Types'!$D$81) + SUMIFS(Physician_Minutes_July,Physician_Minutes_Practice,July!B85, Independent_Contractor_Minutes, 'Physician Types'!$D$81)/INDEX(Physician_Type_Visit_Minutes,MATCH(July!B85,Physician_Type_Practice,0))</f>
        <v>0</v>
      </c>
      <c r="I85" s="43">
        <f t="shared" si="11"/>
        <v>0</v>
      </c>
      <c r="J85" s="10">
        <f>E85*'Physician Types'!$E$4</f>
        <v>55.27091584081424</v>
      </c>
      <c r="K85" s="10">
        <f t="shared" si="8"/>
        <v>0</v>
      </c>
    </row>
    <row r="86" spans="1:13" x14ac:dyDescent="0.2">
      <c r="A86" s="158">
        <v>3</v>
      </c>
      <c r="B86" s="102" t="s">
        <v>57</v>
      </c>
      <c r="C86" s="5">
        <f t="array" ref="C86">SUMIFS(Physician_Visit_July,Physician_Visit_Practice,July!B86,Physician_Visit_Hospitalists, "&lt;&gt;"&amp;'Physician Types'!$D$81)+SUMIFS(Physician_Visit_July,Physician_Visit_Practice,July!B86,Physician_Visit_Hospitalists,'Physician Types'!$D$81)*INDEX(Physician_Type_Hospitalists_Visit_Minutes,MATCH(July!B86,Physician_Type_Practice,0))/INDEX(Physician_Type_Visit_Minutes,MATCH(July!B86,Physician_Type_Practice,0)) +SUMIF(Physician_Minutes_Practice,July!B86,Physician_Minutes_July)/INDEX(Physician_Type_Visit_Minutes,MATCH(July!B86,Physician_Type_Practice,0))</f>
        <v>0</v>
      </c>
      <c r="D86" s="43">
        <f t="shared" si="10"/>
        <v>0</v>
      </c>
      <c r="E86" s="17">
        <f>INDEX(Physician_Type_Bed_Rate,MATCH(July!B86,Physician_Type_Practice,0))*'Hospital Input Page'!$C$4</f>
        <v>1165.1390097798767</v>
      </c>
      <c r="F86" s="9">
        <f t="shared" si="9"/>
        <v>0</v>
      </c>
      <c r="H86" s="5">
        <f t="array" ref="H86">SUMIFS(Physician_Visit_July, Physician_Visit_Practice, July!B86, Independent_Contractor_Visits,  'Physician Types'!$D$81) + SUMIFS(Physician_Minutes_July,Physician_Minutes_Practice,July!B86, Independent_Contractor_Minutes, 'Physician Types'!$D$81)/INDEX(Physician_Type_Visit_Minutes,MATCH(July!B86,Physician_Type_Practice,0))</f>
        <v>0</v>
      </c>
      <c r="I86" s="43">
        <f t="shared" si="11"/>
        <v>0</v>
      </c>
      <c r="J86" s="10">
        <f>E86*'Physician Types'!$E$4</f>
        <v>34.954170293396302</v>
      </c>
      <c r="K86" s="10">
        <f t="shared" si="8"/>
        <v>0</v>
      </c>
    </row>
    <row r="87" spans="1:13" x14ac:dyDescent="0.2">
      <c r="A87" s="158">
        <v>3</v>
      </c>
      <c r="B87" s="102" t="s">
        <v>58</v>
      </c>
      <c r="C87" s="5">
        <f t="array" ref="C87">SUMIFS(Physician_Visit_July,Physician_Visit_Practice,July!B87,Physician_Visit_Hospitalists, "&lt;&gt;"&amp;'Physician Types'!$D$81)+SUMIFS(Physician_Visit_July,Physician_Visit_Practice,July!B87,Physician_Visit_Hospitalists,'Physician Types'!$D$81)*INDEX(Physician_Type_Hospitalists_Visit_Minutes,MATCH(July!B87,Physician_Type_Practice,0))/INDEX(Physician_Type_Visit_Minutes,MATCH(July!B87,Physician_Type_Practice,0)) +SUMIF(Physician_Minutes_Practice,July!B87,Physician_Minutes_July)/INDEX(Physician_Type_Visit_Minutes,MATCH(July!B87,Physician_Type_Practice,0))</f>
        <v>0</v>
      </c>
      <c r="D87" s="43">
        <f t="shared" si="10"/>
        <v>0</v>
      </c>
      <c r="E87" s="17">
        <f>INDEX(Physician_Type_Bed_Rate,MATCH(July!B87,Physician_Type_Practice,0))*'Hospital Input Page'!$C$4</f>
        <v>2406.3926282388406</v>
      </c>
      <c r="F87" s="9">
        <f t="shared" si="9"/>
        <v>0</v>
      </c>
      <c r="H87" s="5">
        <f t="array" ref="H87">SUMIFS(Physician_Visit_July, Physician_Visit_Practice, July!B87, Independent_Contractor_Visits,  'Physician Types'!$D$81) + SUMIFS(Physician_Minutes_July,Physician_Minutes_Practice,July!B87, Independent_Contractor_Minutes, 'Physician Types'!$D$81)/INDEX(Physician_Type_Visit_Minutes,MATCH(July!B87,Physician_Type_Practice,0))</f>
        <v>0</v>
      </c>
      <c r="I87" s="43">
        <f t="shared" si="11"/>
        <v>0</v>
      </c>
      <c r="J87" s="10">
        <f>E87*'Physician Types'!$E$4</f>
        <v>72.19177884716521</v>
      </c>
      <c r="K87" s="10">
        <f t="shared" si="8"/>
        <v>0</v>
      </c>
    </row>
    <row r="88" spans="1:13" x14ac:dyDescent="0.2">
      <c r="A88" s="158">
        <v>7</v>
      </c>
      <c r="B88" s="102" t="s">
        <v>73</v>
      </c>
      <c r="C88" s="5">
        <f t="array" ref="C88">SUMIFS(Physician_Visit_July,Physician_Visit_Practice,July!B88,Physician_Visit_Hospitalists, "&lt;&gt;"&amp;'Physician Types'!$D$81)+SUMIFS(Physician_Visit_July,Physician_Visit_Practice,July!B88,Physician_Visit_Hospitalists,'Physician Types'!$D$81)*INDEX(Physician_Type_Hospitalists_Visit_Minutes,MATCH(July!B88,Physician_Type_Practice,0))/INDEX(Physician_Type_Visit_Minutes,MATCH(July!B88,Physician_Type_Practice,0)) +SUMIF(Physician_Minutes_Practice,July!B88,Physician_Minutes_July)/INDEX(Physician_Type_Visit_Minutes,MATCH(July!B88,Physician_Type_Practice,0))</f>
        <v>0</v>
      </c>
      <c r="D88" s="43">
        <f t="shared" si="10"/>
        <v>0</v>
      </c>
      <c r="E88" s="17">
        <f>INDEX(Physician_Type_Bed_Rate,MATCH(July!B88,Physician_Type_Practice,0))*'Hospital Input Page'!$C$4</f>
        <v>7172.3381255293916</v>
      </c>
      <c r="F88" s="9">
        <f t="shared" ref="F88:F112" si="12">D88*E88</f>
        <v>0</v>
      </c>
      <c r="H88" s="5">
        <f t="array" ref="H88">SUMIFS(Physician_Visit_July, Physician_Visit_Practice, July!B88, Independent_Contractor_Visits,  'Physician Types'!$D$81) + SUMIFS(Physician_Minutes_July,Physician_Minutes_Practice,July!B88, Independent_Contractor_Minutes, 'Physician Types'!$D$81)/INDEX(Physician_Type_Visit_Minutes,MATCH(July!B88,Physician_Type_Practice,0))</f>
        <v>0</v>
      </c>
      <c r="I88" s="43">
        <f t="shared" si="11"/>
        <v>0</v>
      </c>
      <c r="J88" s="10">
        <f>E88*'Physician Types'!$E$4</f>
        <v>215.17014376588173</v>
      </c>
      <c r="K88" s="10">
        <f t="shared" si="8"/>
        <v>0</v>
      </c>
    </row>
    <row r="89" spans="1:13" x14ac:dyDescent="0.2">
      <c r="A89" s="158">
        <v>7</v>
      </c>
      <c r="B89" s="128" t="s">
        <v>74</v>
      </c>
      <c r="C89" s="5">
        <f t="array" ref="C89">SUMIFS(Physician_Visit_July,Physician_Visit_Practice,July!B89,Physician_Visit_Hospitalists, "&lt;&gt;"&amp;'Physician Types'!$D$81)+SUMIFS(Physician_Visit_July,Physician_Visit_Practice,July!B89,Physician_Visit_Hospitalists,'Physician Types'!$D$81)*INDEX(Physician_Type_Hospitalists_Visit_Minutes,MATCH(July!B89,Physician_Type_Practice,0))/INDEX(Physician_Type_Visit_Minutes,MATCH(July!B89,Physician_Type_Practice,0)) +SUMIF(Physician_Minutes_Practice,July!B89,Physician_Minutes_July)/INDEX(Physician_Type_Visit_Minutes,MATCH(July!B89,Physician_Type_Practice,0))</f>
        <v>0</v>
      </c>
      <c r="D89" s="43">
        <f t="shared" si="10"/>
        <v>0</v>
      </c>
      <c r="E89" s="17">
        <f>INDEX(Physician_Type_Bed_Rate,MATCH(July!B89,Physician_Type_Practice,0))*'Hospital Input Page'!$C$4</f>
        <v>4073.1073926475756</v>
      </c>
      <c r="F89" s="9">
        <f t="shared" si="12"/>
        <v>0</v>
      </c>
      <c r="H89" s="5">
        <f t="array" ref="H89">SUMIFS(Physician_Visit_July, Physician_Visit_Practice, July!B89, Independent_Contractor_Visits,  'Physician Types'!$D$81) + SUMIFS(Physician_Minutes_July,Physician_Minutes_Practice,July!B89, Independent_Contractor_Minutes, 'Physician Types'!$D$81)/INDEX(Physician_Type_Visit_Minutes,MATCH(July!B89,Physician_Type_Practice,0))</f>
        <v>0</v>
      </c>
      <c r="I89" s="43">
        <f t="shared" si="11"/>
        <v>0</v>
      </c>
      <c r="J89" s="10">
        <f>E89*'Physician Types'!$E$4</f>
        <v>122.19322177942726</v>
      </c>
      <c r="K89" s="10">
        <f t="shared" si="8"/>
        <v>0</v>
      </c>
    </row>
    <row r="90" spans="1:13" x14ac:dyDescent="0.2">
      <c r="A90" s="158">
        <v>4</v>
      </c>
      <c r="B90" s="128" t="s">
        <v>146</v>
      </c>
      <c r="C90" s="5">
        <f t="array" ref="C90">SUMIFS(Physician_Visit_July,Physician_Visit_Practice,July!B90,Physician_Visit_Hospitalists, "&lt;&gt;"&amp;'Physician Types'!$D$81)+SUMIFS(Physician_Visit_July,Physician_Visit_Practice,July!B90,Physician_Visit_Hospitalists,'Physician Types'!$D$81)*INDEX(Physician_Type_Hospitalists_Visit_Minutes,MATCH(July!B90,Physician_Type_Practice,0))/INDEX(Physician_Type_Visit_Minutes,MATCH(July!B90,Physician_Type_Practice,0)) +SUMIF(Physician_Minutes_Practice,July!B90,Physician_Minutes_July)/INDEX(Physician_Type_Visit_Minutes,MATCH(July!B90,Physician_Type_Practice,0))</f>
        <v>0</v>
      </c>
      <c r="D90" s="43">
        <f t="shared" si="10"/>
        <v>0</v>
      </c>
      <c r="E90" s="17">
        <f>IF(C90&gt;0,INDEX(Physician_Type_Bed_Rate,MATCH(July!B90,Physician_Type_Practice,0))*'Hospital Input Page'!$C$4,0)</f>
        <v>0</v>
      </c>
      <c r="F90" s="9">
        <f t="shared" si="12"/>
        <v>0</v>
      </c>
      <c r="H90" s="5">
        <f t="array" ref="H90">SUMIFS(Physician_Visit_July, Physician_Visit_Practice, July!B90, Independent_Contractor_Visits,  'Physician Types'!$D$81) + SUMIFS(Physician_Minutes_July,Physician_Minutes_Practice,July!B90, Independent_Contractor_Minutes, 'Physician Types'!$D$81)/INDEX(Physician_Type_Visit_Minutes,MATCH(July!B90,Physician_Type_Practice,0))</f>
        <v>0</v>
      </c>
      <c r="I90" s="43">
        <f t="shared" si="11"/>
        <v>0</v>
      </c>
      <c r="J90" s="10">
        <f>E90*'Physician Types'!$E$4</f>
        <v>0</v>
      </c>
      <c r="K90" s="10">
        <f t="shared" si="8"/>
        <v>0</v>
      </c>
    </row>
    <row r="91" spans="1:13" x14ac:dyDescent="0.2">
      <c r="A91" s="158">
        <v>6</v>
      </c>
      <c r="B91" s="128" t="s">
        <v>71</v>
      </c>
      <c r="C91" s="5">
        <f>SUMIFS(Physician_Visit_July,Physician_Visit_Practice,July!B91,Physician_Visit_Hospitalists, "&lt;&gt;"&amp;'Physician Types'!$D$81)+SUMIFS(Physician_Visit_July,Physician_Visit_Practice,July!B91,Physician_Visit_Hospitalists,'Physician Types'!$D$81)*INDEX(Physician_Type_Hospitalists_Visit_Minutes,MATCH(July!B91,Physician_Type_Practice,0))/INDEX(Physician_Type_Visit_Minutes,MATCH(July!B91,Physician_Type_Practice,0)) +SUMIF(Physician_Minutes_Practice,July!B91,Physician_Minutes_July)/INDEX(Physician_Type_Visit_Minutes,MATCH(July!B91,Physician_Type_Practice,0))</f>
        <v>0</v>
      </c>
      <c r="D91" s="43">
        <f t="shared" si="10"/>
        <v>0</v>
      </c>
      <c r="E91" s="17">
        <f>INDEX(Physician_Type_Bed_Rate,MATCH(July!B91,Physician_Type_Practice,0))*'Hospital Input Page'!$C$4</f>
        <v>4912.3197447503335</v>
      </c>
      <c r="F91" s="9">
        <f t="shared" si="12"/>
        <v>0</v>
      </c>
      <c r="H91" s="5">
        <f t="array" ref="H91">SUMIFS(Physician_Visit_July, Physician_Visit_Practice, July!B91, Independent_Contractor_Visits,  'Physician Types'!$D$81) + SUMIFS(Physician_Minutes_July,Physician_Minutes_Practice,July!B91, Independent_Contractor_Minutes, 'Physician Types'!$D$81)/INDEX(Physician_Type_Visit_Minutes,MATCH(July!B91,Physician_Type_Practice,0))</f>
        <v>0</v>
      </c>
      <c r="I91" s="43">
        <f t="shared" si="11"/>
        <v>0</v>
      </c>
      <c r="J91" s="10">
        <f>E91*'Physician Types'!$E$4</f>
        <v>147.36959234251</v>
      </c>
      <c r="K91" s="10">
        <f t="shared" si="8"/>
        <v>0</v>
      </c>
    </row>
    <row r="92" spans="1:13" x14ac:dyDescent="0.2">
      <c r="A92" s="158">
        <v>4</v>
      </c>
      <c r="B92" s="128" t="s">
        <v>152</v>
      </c>
      <c r="C92" s="5">
        <f t="array" ref="C92">SUMIFS(Physician_Visit_July,Physician_Visit_Practice,July!B92,Physician_Visit_Hospitalists, "&lt;&gt;"&amp;'Physician Types'!$D$81)+SUMIFS(Physician_Visit_July,Physician_Visit_Practice,July!B92,Physician_Visit_Hospitalists,'Physician Types'!$D$81)*INDEX(Physician_Type_Hospitalists_Visit_Minutes,MATCH(July!B92,Physician_Type_Practice,0))/INDEX(Physician_Type_Visit_Minutes,MATCH(July!B92,Physician_Type_Practice,0)) +SUMIF(Physician_Minutes_Practice,July!B92,Physician_Minutes_July)/INDEX(Physician_Type_Visit_Minutes,MATCH(July!B92,Physician_Type_Practice,0))</f>
        <v>0</v>
      </c>
      <c r="D92" s="43">
        <f t="shared" si="10"/>
        <v>0</v>
      </c>
      <c r="E92" s="17">
        <f>IFERROR(INDEX(Physician_Type_Bed_Rate,MATCH(July!B92,Physician_Type_Practice,0))*'Hospital Input Page'!$C$4,0)</f>
        <v>2664.0113037680594</v>
      </c>
      <c r="F92" s="9">
        <f t="shared" si="12"/>
        <v>0</v>
      </c>
      <c r="H92" s="5">
        <f t="array" ref="H92">SUMIFS(Physician_Visit_July, Physician_Visit_Practice, July!B92, Independent_Contractor_Visits,  'Physician Types'!$D$81) + SUMIFS(Physician_Minutes_July,Physician_Minutes_Practice,July!B92, Independent_Contractor_Minutes, 'Physician Types'!$D$81)/INDEX(Physician_Type_Visit_Minutes,MATCH(July!B92,Physician_Type_Practice,0))</f>
        <v>0</v>
      </c>
      <c r="I92" s="43">
        <f t="shared" si="11"/>
        <v>0</v>
      </c>
      <c r="J92" s="10">
        <f>E92*'Physician Types'!$E$4</f>
        <v>79.920339113041777</v>
      </c>
      <c r="K92" s="10">
        <f t="shared" si="8"/>
        <v>0</v>
      </c>
    </row>
    <row r="93" spans="1:13" x14ac:dyDescent="0.2">
      <c r="A93" s="158">
        <v>1</v>
      </c>
      <c r="B93" s="107" t="s">
        <v>30</v>
      </c>
      <c r="C93" s="5">
        <f t="array" ref="C93">SUMIFS(Physician_Visit_July,Physician_Visit_Practice,July!B93,Physician_Visit_Hospitalists, "&lt;&gt;"&amp;'Physician Types'!$D$81)+SUMIFS(Physician_Visit_July,Physician_Visit_Practice,July!B93,Physician_Visit_Hospitalists,'Physician Types'!$D$81)*INDEX(Physician_Type_Hospitalists_Visit_Minutes,MATCH(July!B93,Physician_Type_Practice,0))/INDEX(Physician_Type_Visit_Minutes,MATCH(July!B93,Physician_Type_Practice,0)) +SUMIF(Physician_Minutes_Practice,July!B93,Physician_Minutes_July)/INDEX(Physician_Type_Visit_Minutes,MATCH(July!B93,Physician_Type_Practice,0))</f>
        <v>0</v>
      </c>
      <c r="D93" s="43">
        <f t="shared" si="10"/>
        <v>0</v>
      </c>
      <c r="E93" s="17">
        <f>INDEX(Physician_Type_Bed_Rate,MATCH(July!B93,Physician_Type_Practice,0))*'Hospital Input Page'!$C$4</f>
        <v>2544.9602491674359</v>
      </c>
      <c r="F93" s="9">
        <f t="shared" si="12"/>
        <v>0</v>
      </c>
      <c r="H93" s="5">
        <f t="array" ref="H93">SUMIFS(Physician_Visit_July, Physician_Visit_Practice, July!B93, Independent_Contractor_Visits,  'Physician Types'!$D$81) + SUMIFS(Physician_Minutes_July,Physician_Minutes_Practice,July!B93, Independent_Contractor_Minutes, 'Physician Types'!$D$81)/INDEX(Physician_Type_Visit_Minutes,MATCH(July!B93,Physician_Type_Practice,0))</f>
        <v>0</v>
      </c>
      <c r="I93" s="43">
        <f t="shared" si="11"/>
        <v>0</v>
      </c>
      <c r="J93" s="10">
        <f>E93*'Physician Types'!$E$4</f>
        <v>76.348807475023079</v>
      </c>
      <c r="K93" s="10">
        <f t="shared" si="8"/>
        <v>0</v>
      </c>
    </row>
    <row r="94" spans="1:13" x14ac:dyDescent="0.2">
      <c r="A94" s="158">
        <v>1</v>
      </c>
      <c r="B94" s="107" t="s">
        <v>31</v>
      </c>
      <c r="C94" s="5">
        <f t="array" ref="C94">SUMIFS(Physician_Visit_July,Physician_Visit_Practice,July!B94,Physician_Visit_Hospitalists, "&lt;&gt;"&amp;'Physician Types'!$D$81)+SUMIFS(Physician_Visit_July,Physician_Visit_Practice,July!B94,Physician_Visit_Hospitalists,'Physician Types'!$D$81)*INDEX(Physician_Type_Hospitalists_Visit_Minutes,MATCH(July!B94,Physician_Type_Practice,0))/INDEX(Physician_Type_Visit_Minutes,MATCH(July!B94,Physician_Type_Practice,0)) +SUMIF(Physician_Minutes_Practice,July!B94,Physician_Minutes_July)/INDEX(Physician_Type_Visit_Minutes,MATCH(July!B94,Physician_Type_Practice,0))</f>
        <v>0</v>
      </c>
      <c r="D94" s="43">
        <f t="shared" si="10"/>
        <v>0</v>
      </c>
      <c r="E94" s="17">
        <f>INDEX(Physician_Type_Bed_Rate,MATCH(July!B94,Physician_Type_Practice,0))*'Hospital Input Page'!$C$4</f>
        <v>1258.818528154138</v>
      </c>
      <c r="F94" s="9">
        <f t="shared" si="12"/>
        <v>0</v>
      </c>
      <c r="H94" s="5">
        <f t="array" ref="H94">SUMIFS(Physician_Visit_July, Physician_Visit_Practice, July!B94, Independent_Contractor_Visits,  'Physician Types'!$D$81) + SUMIFS(Physician_Minutes_July,Physician_Minutes_Practice,July!B94, Independent_Contractor_Minutes, 'Physician Types'!$D$81)/INDEX(Physician_Type_Visit_Minutes,MATCH(July!B94,Physician_Type_Practice,0))</f>
        <v>0</v>
      </c>
      <c r="I94" s="43">
        <f t="shared" si="11"/>
        <v>0</v>
      </c>
      <c r="J94" s="10">
        <f>E94*'Physician Types'!$E$4</f>
        <v>37.764555844624141</v>
      </c>
      <c r="K94" s="10">
        <f t="shared" si="8"/>
        <v>0</v>
      </c>
    </row>
    <row r="95" spans="1:13" x14ac:dyDescent="0.2">
      <c r="A95" s="158">
        <v>2</v>
      </c>
      <c r="B95" s="107" t="s">
        <v>48</v>
      </c>
      <c r="C95" s="5">
        <f t="array" ref="C95">SUMIFS(Physician_Visit_July,Physician_Visit_Practice,July!B95,Physician_Visit_Hospitalists, "&lt;&gt;"&amp;'Physician Types'!$D$81)+SUMIFS(Physician_Visit_July,Physician_Visit_Practice,July!B95,Physician_Visit_Hospitalists,'Physician Types'!$D$81)*INDEX(Physician_Type_Hospitalists_Visit_Minutes,MATCH(July!B95,Physician_Type_Practice,0))/INDEX(Physician_Type_Visit_Minutes,MATCH(July!B95,Physician_Type_Practice,0)) +SUMIF(Physician_Minutes_Practice,July!B95,Physician_Minutes_July)/INDEX(Physician_Type_Visit_Minutes,MATCH(July!B95,Physician_Type_Practice,0))</f>
        <v>0</v>
      </c>
      <c r="D95" s="43">
        <f t="shared" ref="D95" si="13">C95*INDEX(Physician_Type_Visit_Minutes,MATCH(B95,Physician_Type_Practice,0))/INDEX(Physician_Type_FTE_Minutes,MATCH(B95,Physician_Type_Practice,0))</f>
        <v>0</v>
      </c>
      <c r="E95" s="17">
        <f>INDEX(Physician_Type_Bed_Rate,MATCH(July!B95,Physician_Type_Practice,0))*'Hospital Input Page'!$C$4</f>
        <v>2336.1329894581445</v>
      </c>
      <c r="F95" s="9">
        <f t="shared" ref="F95" si="14">D95*E95</f>
        <v>0</v>
      </c>
      <c r="H95" s="5">
        <f t="array" ref="H95">SUMIFS(Physician_Visit_July, Physician_Visit_Practice, July!B95, Independent_Contractor_Visits,  'Physician Types'!$D$81) + SUMIFS(Physician_Minutes_July,Physician_Minutes_Practice,July!B95, Independent_Contractor_Minutes, 'Physician Types'!$D$81)/INDEX(Physician_Type_Visit_Minutes,MATCH(July!B95,Physician_Type_Practice,0))</f>
        <v>0</v>
      </c>
      <c r="I95" s="43">
        <f t="shared" ref="I95" si="15">H95*INDEX(Physician_Type_Visit_Minutes,MATCH(B95,Physician_Type_Practice,0))/INDEX(Physician_Type_FTE_Minutes,MATCH(B95,Physician_Type_Practice,0))</f>
        <v>0</v>
      </c>
      <c r="J95" s="10">
        <f>E95*'Physician Types'!$E$4</f>
        <v>70.083989683744335</v>
      </c>
      <c r="K95" s="10">
        <f t="shared" ref="K95" si="16">I95*J95</f>
        <v>0</v>
      </c>
    </row>
    <row r="96" spans="1:13" x14ac:dyDescent="0.2">
      <c r="A96" s="158">
        <v>2</v>
      </c>
      <c r="B96" s="107" t="s">
        <v>49</v>
      </c>
      <c r="C96" s="5">
        <f t="array" ref="C96">SUMIFS(Physician_Visit_July,Physician_Visit_Practice,July!B96,Physician_Visit_Hospitalists, "&lt;&gt;"&amp;'Physician Types'!$D$81)+SUMIFS(Physician_Visit_July,Physician_Visit_Practice,July!B96,Physician_Visit_Hospitalists,'Physician Types'!$D$81)*INDEX(Physician_Type_Hospitalists_Visit_Minutes,MATCH(July!B96,Physician_Type_Practice,0))/INDEX(Physician_Type_Visit_Minutes,MATCH(July!B96,Physician_Type_Practice,0)) +SUMIF(Physician_Minutes_Practice,July!B96,Physician_Minutes_July)/INDEX(Physician_Type_Visit_Minutes,MATCH(July!B96,Physician_Type_Practice,0))</f>
        <v>0</v>
      </c>
      <c r="D96" s="43">
        <f t="shared" si="10"/>
        <v>0</v>
      </c>
      <c r="E96" s="17">
        <f>INDEX(Physician_Type_Bed_Rate,MATCH(July!B96,Physician_Type_Practice,0))*'Hospital Input Page'!$C$4</f>
        <v>1727.2161200254454</v>
      </c>
      <c r="F96" s="9">
        <f t="shared" si="12"/>
        <v>0</v>
      </c>
      <c r="H96" s="5">
        <f t="array" ref="H96">SUMIFS(Physician_Visit_July, Physician_Visit_Practice, July!B96, Independent_Contractor_Visits,  'Physician Types'!$D$81) + SUMIFS(Physician_Minutes_July,Physician_Minutes_Practice,July!B96, Independent_Contractor_Minutes, 'Physician Types'!$D$81)/INDEX(Physician_Type_Visit_Minutes,MATCH(July!B96,Physician_Type_Practice,0))</f>
        <v>0</v>
      </c>
      <c r="I96" s="43">
        <f t="shared" si="11"/>
        <v>0</v>
      </c>
      <c r="J96" s="10">
        <f>E96*'Physician Types'!$E$4</f>
        <v>51.816483600763362</v>
      </c>
      <c r="K96" s="10">
        <f t="shared" si="8"/>
        <v>0</v>
      </c>
    </row>
    <row r="97" spans="1:16" x14ac:dyDescent="0.2">
      <c r="A97" s="158">
        <v>1</v>
      </c>
      <c r="B97" s="107" t="s">
        <v>32</v>
      </c>
      <c r="C97" s="5">
        <f t="array" ref="C97">SUMIFS(Physician_Visit_July,Physician_Visit_Practice,July!B97,Physician_Visit_Hospitalists, "&lt;&gt;"&amp;'Physician Types'!$D$81)+SUMIFS(Physician_Visit_July,Physician_Visit_Practice,July!B97,Physician_Visit_Hospitalists,'Physician Types'!$D$81)*INDEX(Physician_Type_Hospitalists_Visit_Minutes,MATCH(July!B97,Physician_Type_Practice,0))/INDEX(Physician_Type_Visit_Minutes,MATCH(July!B97,Physician_Type_Practice,0)) +SUMIF(Physician_Minutes_Practice,July!B97,Physician_Minutes_July)/INDEX(Physician_Type_Visit_Minutes,MATCH(July!B97,Physician_Type_Practice,0))</f>
        <v>0</v>
      </c>
      <c r="D97" s="43">
        <f t="shared" si="10"/>
        <v>0</v>
      </c>
      <c r="E97" s="17">
        <f>INDEX(Physician_Type_Bed_Rate,MATCH(July!B97,Physician_Type_Practice,0))*'Hospital Input Page'!$C$4</f>
        <v>1297.8516608100804</v>
      </c>
      <c r="F97" s="9">
        <f t="shared" si="12"/>
        <v>0</v>
      </c>
      <c r="H97" s="5">
        <f t="array" ref="H97">SUMIFS(Physician_Visit_July, Physician_Visit_Practice, July!B97, Independent_Contractor_Visits,  'Physician Types'!$D$81) + SUMIFS(Physician_Minutes_July,Physician_Minutes_Practice,July!B97, Independent_Contractor_Minutes, 'Physician Types'!$D$81)/INDEX(Physician_Type_Visit_Minutes,MATCH(July!B97,Physician_Type_Practice,0))</f>
        <v>0</v>
      </c>
      <c r="I97" s="43">
        <f t="shared" si="11"/>
        <v>0</v>
      </c>
      <c r="J97" s="10">
        <f>E97*'Physician Types'!$E$4</f>
        <v>38.935549824302413</v>
      </c>
      <c r="K97" s="10">
        <f t="shared" si="8"/>
        <v>0</v>
      </c>
    </row>
    <row r="98" spans="1:16" x14ac:dyDescent="0.2">
      <c r="A98" s="158"/>
      <c r="B98" s="102" t="s">
        <v>20</v>
      </c>
      <c r="C98" s="5">
        <f t="array" ref="C98">SUMIFS(Physician_Visit_July,Physician_Visit_Practice,July!B98,Physician_Visit_Hospitalists, "&lt;&gt;"&amp;'Physician Types'!$D$81)+SUMIFS(Physician_Visit_July,Physician_Visit_Practice,July!B98,Physician_Visit_Hospitalists,'Physician Types'!$D$81)*INDEX(Physician_Type_Hospitalists_Visit_Minutes,MATCH(July!B98,Physician_Type_Practice,0))/INDEX(Physician_Type_Visit_Minutes,MATCH(July!B98,Physician_Type_Practice,0)) +SUMIF(Physician_Minutes_Practice,July!B98,Physician_Minutes_July)/INDEX(Physician_Type_Visit_Minutes,MATCH(July!B98,Physician_Type_Practice,0))</f>
        <v>519</v>
      </c>
      <c r="D98" s="43">
        <f t="shared" si="10"/>
        <v>0.99809611723302361</v>
      </c>
      <c r="E98" s="17">
        <f>INDEX(Physician_Type_Bed_Rate,MATCH(July!B98,Physician_Type_Practice,0))*'Hospital Input Page'!$C$4</f>
        <v>493.76912809766964</v>
      </c>
      <c r="F98" s="9">
        <f t="shared" si="12"/>
        <v>492.82904956381952</v>
      </c>
      <c r="H98" s="5">
        <f t="array" ref="H98">SUMIFS(Physician_Visit_July, Physician_Visit_Practice, July!B98, Independent_Contractor_Visits,  'Physician Types'!$D$81) + SUMIFS(Physician_Minutes_July,Physician_Minutes_Practice,July!B98, Independent_Contractor_Minutes, 'Physician Types'!$D$81)/INDEX(Physician_Type_Visit_Minutes,MATCH(July!B98,Physician_Type_Practice,0))</f>
        <v>0</v>
      </c>
      <c r="I98" s="43">
        <f t="shared" si="11"/>
        <v>0</v>
      </c>
      <c r="J98" s="10">
        <f>E98*'Physician Types'!$E$4</f>
        <v>14.813073842930088</v>
      </c>
      <c r="K98" s="10">
        <f t="shared" si="8"/>
        <v>0</v>
      </c>
    </row>
    <row r="99" spans="1:16" x14ac:dyDescent="0.2">
      <c r="A99" s="158">
        <v>1</v>
      </c>
      <c r="B99" s="107" t="s">
        <v>33</v>
      </c>
      <c r="C99" s="5">
        <f t="array" ref="C99">SUMIFS(Physician_Visit_July,Physician_Visit_Practice,July!B99,Physician_Visit_Hospitalists, "&lt;&gt;"&amp;'Physician Types'!$D$81)+SUMIFS(Physician_Visit_July,Physician_Visit_Practice,July!B99,Physician_Visit_Hospitalists,'Physician Types'!$D$81)*INDEX(Physician_Type_Hospitalists_Visit_Minutes,MATCH(July!B99,Physician_Type_Practice,0))/INDEX(Physician_Type_Visit_Minutes,MATCH(July!B99,Physician_Type_Practice,0)) +SUMIF(Physician_Minutes_Practice,July!B99,Physician_Minutes_July)/INDEX(Physician_Type_Visit_Minutes,MATCH(July!B99,Physician_Type_Practice,0))</f>
        <v>0</v>
      </c>
      <c r="D99" s="43">
        <f t="shared" si="10"/>
        <v>0</v>
      </c>
      <c r="E99" s="17">
        <f>INDEX(Physician_Type_Bed_Rate,MATCH(July!B99,Physician_Type_Practice,0))*'Hospital Input Page'!$C$4</f>
        <v>1268.5768113181236</v>
      </c>
      <c r="F99" s="9">
        <f t="shared" si="12"/>
        <v>0</v>
      </c>
      <c r="H99" s="5">
        <f t="array" ref="H99">SUMIFS(Physician_Visit_July, Physician_Visit_Practice, July!B99, Independent_Contractor_Visits,  'Physician Types'!$D$81) + SUMIFS(Physician_Minutes_July,Physician_Minutes_Practice,July!B99, Independent_Contractor_Minutes, 'Physician Types'!$D$81)/INDEX(Physician_Type_Visit_Minutes,MATCH(July!B99,Physician_Type_Practice,0))</f>
        <v>0</v>
      </c>
      <c r="I99" s="43">
        <f t="shared" si="11"/>
        <v>0</v>
      </c>
      <c r="J99" s="10">
        <f>E99*'Physician Types'!$E$4</f>
        <v>38.057304339543705</v>
      </c>
      <c r="K99" s="10">
        <f t="shared" si="8"/>
        <v>0</v>
      </c>
    </row>
    <row r="100" spans="1:16" x14ac:dyDescent="0.2">
      <c r="A100" s="158">
        <v>2</v>
      </c>
      <c r="B100" s="107" t="s">
        <v>50</v>
      </c>
      <c r="C100" s="5">
        <f t="array" ref="C100">SUMIFS(Physician_Visit_July,Physician_Visit_Practice,July!B100,Physician_Visit_Hospitalists, "&lt;&gt;"&amp;'Physician Types'!$D$81)+SUMIFS(Physician_Visit_July,Physician_Visit_Practice,July!B100,Physician_Visit_Hospitalists,'Physician Types'!$D$81)*INDEX(Physician_Type_Hospitalists_Visit_Minutes,MATCH(July!B100,Physician_Type_Practice,0))/INDEX(Physician_Type_Visit_Minutes,MATCH(July!B100,Physician_Type_Practice,0)) +SUMIF(Physician_Minutes_Practice,July!B100,Physician_Minutes_July)/INDEX(Physician_Type_Visit_Minutes,MATCH(July!B100,Physician_Type_Practice,0))</f>
        <v>0</v>
      </c>
      <c r="D100" s="43">
        <f t="shared" si="10"/>
        <v>0</v>
      </c>
      <c r="E100" s="17">
        <f>INDEX(Physician_Type_Bed_Rate,MATCH(July!B100,Physician_Type_Practice,0))*'Hospital Input Page'!$C$4</f>
        <v>2529.3469961050587</v>
      </c>
      <c r="F100" s="9">
        <f t="shared" si="12"/>
        <v>0</v>
      </c>
      <c r="H100" s="5">
        <f t="array" ref="H100">SUMIFS(Physician_Visit_July, Physician_Visit_Practice, July!B100, Independent_Contractor_Visits,  'Physician Types'!$D$81) + SUMIFS(Physician_Minutes_July,Physician_Minutes_Practice,July!B100, Independent_Contractor_Minutes, 'Physician Types'!$D$81)/INDEX(Physician_Type_Visit_Minutes,MATCH(July!B100,Physician_Type_Practice,0))</f>
        <v>0</v>
      </c>
      <c r="I100" s="43">
        <f t="shared" si="11"/>
        <v>0</v>
      </c>
      <c r="J100" s="10">
        <f>E100*'Physician Types'!$E$4</f>
        <v>75.880409883151756</v>
      </c>
      <c r="K100" s="10">
        <f t="shared" si="8"/>
        <v>0</v>
      </c>
    </row>
    <row r="101" spans="1:16" x14ac:dyDescent="0.2">
      <c r="A101" s="158">
        <v>2</v>
      </c>
      <c r="B101" s="107" t="s">
        <v>51</v>
      </c>
      <c r="C101" s="5">
        <f t="array" ref="C101">SUMIFS(Physician_Visit_July,Physician_Visit_Practice,July!B101,Physician_Visit_Hospitalists, "&lt;&gt;"&amp;'Physician Types'!$D$81)+SUMIFS(Physician_Visit_July,Physician_Visit_Practice,July!B101,Physician_Visit_Hospitalists,'Physician Types'!$D$81)*INDEX(Physician_Type_Hospitalists_Visit_Minutes,MATCH(July!B101,Physician_Type_Practice,0))/INDEX(Physician_Type_Visit_Minutes,MATCH(July!B101,Physician_Type_Practice,0)) +SUMIF(Physician_Minutes_Practice,July!B101,Physician_Minutes_July)/INDEX(Physician_Type_Visit_Minutes,MATCH(July!B101,Physician_Type_Practice,0))</f>
        <v>0</v>
      </c>
      <c r="D101" s="43">
        <f t="shared" si="10"/>
        <v>0</v>
      </c>
      <c r="E101" s="17">
        <f>INDEX(Physician_Type_Bed_Rate,MATCH(July!B101,Physician_Type_Practice,0))*'Hospital Input Page'!$C$4</f>
        <v>1887.2519639148086</v>
      </c>
      <c r="F101" s="9">
        <f t="shared" si="12"/>
        <v>0</v>
      </c>
      <c r="H101" s="5">
        <f t="array" ref="H101">SUMIFS(Physician_Visit_July, Physician_Visit_Practice, July!B101, Independent_Contractor_Visits,  'Physician Types'!$D$81) + SUMIFS(Physician_Minutes_July,Physician_Minutes_Practice,July!B101, Independent_Contractor_Minutes, 'Physician Types'!$D$81)/INDEX(Physician_Type_Visit_Minutes,MATCH(July!B101,Physician_Type_Practice,0))</f>
        <v>0</v>
      </c>
      <c r="I101" s="43">
        <f t="shared" si="11"/>
        <v>0</v>
      </c>
      <c r="J101" s="10">
        <f>E101*'Physician Types'!$E$4</f>
        <v>56.617558917444256</v>
      </c>
      <c r="K101" s="10">
        <f t="shared" si="8"/>
        <v>0</v>
      </c>
    </row>
    <row r="102" spans="1:16" x14ac:dyDescent="0.2">
      <c r="A102" s="158">
        <v>2</v>
      </c>
      <c r="B102" s="107" t="s">
        <v>52</v>
      </c>
      <c r="C102" s="5">
        <f t="array" ref="C102">SUMIFS(Physician_Visit_July,Physician_Visit_Practice,July!B102,Physician_Visit_Hospitalists, "&lt;&gt;"&amp;'Physician Types'!$D$81)+SUMIFS(Physician_Visit_July,Physician_Visit_Practice,July!B102,Physician_Visit_Hospitalists,'Physician Types'!$D$81)*INDEX(Physician_Type_Hospitalists_Visit_Minutes,MATCH(July!B102,Physician_Type_Practice,0))/INDEX(Physician_Type_Visit_Minutes,MATCH(July!B102,Physician_Type_Practice,0)) +SUMIF(Physician_Minutes_Practice,July!B102,Physician_Minutes_July)/INDEX(Physician_Type_Visit_Minutes,MATCH(July!B102,Physician_Type_Practice,0))</f>
        <v>0</v>
      </c>
      <c r="D102" s="43">
        <f t="shared" si="10"/>
        <v>0</v>
      </c>
      <c r="E102" s="17">
        <f>INDEX(Physician_Type_Bed_Rate,MATCH(July!B102,Physician_Type_Practice,0))*'Hospital Input Page'!$C$4</f>
        <v>2088.2725970929114</v>
      </c>
      <c r="F102" s="9">
        <f t="shared" si="12"/>
        <v>0</v>
      </c>
      <c r="H102" s="5">
        <f t="array" ref="H102">SUMIFS(Physician_Visit_July, Physician_Visit_Practice, July!B102, Independent_Contractor_Visits,  'Physician Types'!$D$81) + SUMIFS(Physician_Minutes_July,Physician_Minutes_Practice,July!B102, Independent_Contractor_Minutes, 'Physician Types'!$D$81)/INDEX(Physician_Type_Visit_Minutes,MATCH(July!B102,Physician_Type_Practice,0))</f>
        <v>0</v>
      </c>
      <c r="I102" s="43">
        <f t="shared" si="11"/>
        <v>0</v>
      </c>
      <c r="J102" s="10">
        <f>E102*'Physician Types'!$E$4</f>
        <v>62.648177912787339</v>
      </c>
      <c r="K102" s="10">
        <f t="shared" si="8"/>
        <v>0</v>
      </c>
      <c r="M102" s="17"/>
      <c r="N102" s="43"/>
      <c r="O102" s="43"/>
      <c r="P102" s="43"/>
    </row>
    <row r="103" spans="1:16" x14ac:dyDescent="0.2">
      <c r="A103" s="158">
        <v>4</v>
      </c>
      <c r="B103" s="107" t="s">
        <v>52</v>
      </c>
      <c r="C103" s="5">
        <f t="array" ref="C103">SUMIFS(Physician_Visit_July,Physician_Visit_Practice,July!B103,Physician_Visit_Hospitalists, "&lt;&gt;"&amp;'Physician Types'!$D$81)+SUMIFS(Physician_Visit_July,Physician_Visit_Practice,July!B103,Physician_Visit_Hospitalists,'Physician Types'!$D$81)*INDEX(Physician_Type_Hospitalists_Visit_Minutes,MATCH(July!B103,Physician_Type_Practice,0))/INDEX(Physician_Type_Visit_Minutes,MATCH(July!B103,Physician_Type_Practice,0)) +SUMIF(Physician_Minutes_Practice,July!B103,Physician_Minutes_July)/INDEX(Physician_Type_Visit_Minutes,MATCH(July!B103,Physician_Type_Practice,0))</f>
        <v>0</v>
      </c>
      <c r="D103" s="43">
        <f t="shared" si="10"/>
        <v>0</v>
      </c>
      <c r="E103" s="17">
        <f>INDEX(Physician_Type_Bed_Rate,MATCH(July!B103,Physician_Type_Practice,0))*'Hospital Input Page'!$C$4</f>
        <v>2088.2725970929114</v>
      </c>
      <c r="F103" s="9">
        <f t="shared" si="12"/>
        <v>0</v>
      </c>
      <c r="H103" s="5">
        <f t="array" ref="H103">SUMIFS(Physician_Visit_July, Physician_Visit_Practice, July!B103, Independent_Contractor_Visits,  'Physician Types'!$D$81) + SUMIFS(Physician_Minutes_July,Physician_Minutes_Practice,July!B103, Independent_Contractor_Minutes, 'Physician Types'!$D$81)/INDEX(Physician_Type_Visit_Minutes,MATCH(July!B103,Physician_Type_Practice,0))</f>
        <v>0</v>
      </c>
      <c r="I103" s="43">
        <f t="shared" si="11"/>
        <v>0</v>
      </c>
      <c r="J103" s="10">
        <f>E103*'Physician Types'!$E$4</f>
        <v>62.648177912787339</v>
      </c>
      <c r="K103" s="10">
        <f t="shared" si="8"/>
        <v>0</v>
      </c>
    </row>
    <row r="104" spans="1:16" x14ac:dyDescent="0.2">
      <c r="A104" s="158">
        <v>5</v>
      </c>
      <c r="B104" s="102" t="s">
        <v>68</v>
      </c>
      <c r="C104" s="5">
        <f t="array" ref="C104">SUMIFS(Physician_Visit_July,Physician_Visit_Practice,July!B104,Physician_Visit_Hospitalists, "&lt;&gt;"&amp;'Physician Types'!$D$81)+SUMIFS(Physician_Visit_July,Physician_Visit_Practice,July!B104,Physician_Visit_Hospitalists,'Physician Types'!$D$81)*INDEX(Physician_Type_Hospitalists_Visit_Minutes,MATCH(July!B104,Physician_Type_Practice,0))/INDEX(Physician_Type_Visit_Minutes,MATCH(July!B104,Physician_Type_Practice,0)) +SUMIF(Physician_Minutes_Practice,July!B104,Physician_Minutes_July)/INDEX(Physician_Type_Visit_Minutes,MATCH(July!B104,Physician_Type_Practice,0))</f>
        <v>0</v>
      </c>
      <c r="D104" s="43">
        <f t="shared" si="10"/>
        <v>0</v>
      </c>
      <c r="E104" s="17">
        <f>INDEX(Physician_Type_Bed_Rate,MATCH(July!B104,Physician_Type_Practice,0))*'Hospital Input Page'!$C$4</f>
        <v>2708.8994063223927</v>
      </c>
      <c r="F104" s="9">
        <f t="shared" si="12"/>
        <v>0</v>
      </c>
      <c r="H104" s="5">
        <f t="array" ref="H104">SUMIFS(Physician_Visit_July, Physician_Visit_Practice, July!B104, Independent_Contractor_Visits,  'Physician Types'!$D$81) + SUMIFS(Physician_Minutes_July,Physician_Minutes_Practice,July!B104, Independent_Contractor_Minutes, 'Physician Types'!$D$81)/INDEX(Physician_Type_Visit_Minutes,MATCH(July!B104,Physician_Type_Practice,0))</f>
        <v>0</v>
      </c>
      <c r="I104" s="43">
        <f t="shared" si="11"/>
        <v>0</v>
      </c>
      <c r="J104" s="10">
        <f>E104*'Physician Types'!$E$4</f>
        <v>81.266982189671779</v>
      </c>
      <c r="K104" s="10">
        <f t="shared" si="8"/>
        <v>0</v>
      </c>
    </row>
    <row r="105" spans="1:16" x14ac:dyDescent="0.2">
      <c r="A105" s="158">
        <v>2</v>
      </c>
      <c r="B105" s="107" t="s">
        <v>53</v>
      </c>
      <c r="C105" s="5">
        <f t="array" ref="C105">SUMIFS(Physician_Visit_July,Physician_Visit_Practice,July!B105,Physician_Visit_Hospitalists, "&lt;&gt;"&amp;'Physician Types'!$D$81)+SUMIFS(Physician_Visit_July,Physician_Visit_Practice,July!B105,Physician_Visit_Hospitalists,'Physician Types'!$D$81)*INDEX(Physician_Type_Hospitalists_Visit_Minutes,MATCH(July!B105,Physician_Type_Practice,0))/INDEX(Physician_Type_Visit_Minutes,MATCH(July!B105,Physician_Type_Practice,0)) +SUMIF(Physician_Minutes_Practice,July!B105,Physician_Minutes_July)/INDEX(Physician_Type_Visit_Minutes,MATCH(July!B105,Physician_Type_Practice,0))</f>
        <v>0</v>
      </c>
      <c r="D105" s="43">
        <f t="shared" si="10"/>
        <v>0</v>
      </c>
      <c r="E105" s="17">
        <f>INDEX(Physician_Type_Bed_Rate,MATCH(July!B105,Physician_Type_Practice,0))*'Hospital Input Page'!$C$4</f>
        <v>1619.8750052216039</v>
      </c>
      <c r="F105" s="9">
        <f t="shared" si="12"/>
        <v>0</v>
      </c>
      <c r="H105" s="5">
        <f t="array" ref="H105">SUMIFS(Physician_Visit_July, Physician_Visit_Practice, July!B105, Independent_Contractor_Visits,  'Physician Types'!$D$81) + SUMIFS(Physician_Minutes_July,Physician_Minutes_Practice,July!B105, Independent_Contractor_Minutes, 'Physician Types'!$D$81)/INDEX(Physician_Type_Visit_Minutes,MATCH(July!B105,Physician_Type_Practice,0))</f>
        <v>0</v>
      </c>
      <c r="I105" s="43">
        <f t="shared" si="11"/>
        <v>0</v>
      </c>
      <c r="J105" s="10">
        <f>E105*'Physician Types'!$E$4</f>
        <v>48.596250156648118</v>
      </c>
      <c r="K105" s="10">
        <f t="shared" si="8"/>
        <v>0</v>
      </c>
    </row>
    <row r="106" spans="1:16" x14ac:dyDescent="0.2">
      <c r="A106" s="158">
        <v>3</v>
      </c>
      <c r="B106" s="102" t="s">
        <v>59</v>
      </c>
      <c r="C106" s="5">
        <f t="array" ref="C106">SUMIFS(Physician_Visit_July,Physician_Visit_Practice,July!B106,Physician_Visit_Hospitalists, "&lt;&gt;"&amp;'Physician Types'!$D$81)+SUMIFS(Physician_Visit_July,Physician_Visit_Practice,July!B106,Physician_Visit_Hospitalists,'Physician Types'!$D$81)*INDEX(Physician_Type_Hospitalists_Visit_Minutes,MATCH(July!B106,Physician_Type_Practice,0))/INDEX(Physician_Type_Visit_Minutes,MATCH(July!B106,Physician_Type_Practice,0)) +SUMIF(Physician_Minutes_Practice,July!B106,Physician_Minutes_July)/INDEX(Physician_Type_Visit_Minutes,MATCH(July!B106,Physician_Type_Practice,0))</f>
        <v>0</v>
      </c>
      <c r="D106" s="43">
        <f t="shared" si="10"/>
        <v>0</v>
      </c>
      <c r="E106" s="17">
        <f>INDEX(Physician_Type_Bed_Rate,MATCH(July!B106,Physician_Type_Practice,0))*'Hospital Input Page'!$C$4</f>
        <v>380.57304339543714</v>
      </c>
      <c r="F106" s="9">
        <f t="shared" si="12"/>
        <v>0</v>
      </c>
      <c r="H106" s="5">
        <f t="array" ref="H106">SUMIFS(Physician_Visit_July, Physician_Visit_Practice, July!B106, Independent_Contractor_Visits,  'Physician Types'!$D$81) + SUMIFS(Physician_Minutes_July,Physician_Minutes_Practice,July!B106, Independent_Contractor_Minutes, 'Physician Types'!$D$81)/INDEX(Physician_Type_Visit_Minutes,MATCH(July!B106,Physician_Type_Practice,0))</f>
        <v>0</v>
      </c>
      <c r="I106" s="43">
        <f t="shared" si="11"/>
        <v>0</v>
      </c>
      <c r="J106" s="10">
        <f>E106*'Physician Types'!$E$4</f>
        <v>11.417191301863113</v>
      </c>
      <c r="K106" s="10">
        <f t="shared" si="8"/>
        <v>0</v>
      </c>
    </row>
    <row r="107" spans="1:16" x14ac:dyDescent="0.2">
      <c r="A107" s="158">
        <v>7</v>
      </c>
      <c r="B107" s="102" t="s">
        <v>75</v>
      </c>
      <c r="C107" s="5">
        <f t="array" ref="C107">SUMIFS(Physician_Visit_July,Physician_Visit_Practice,July!B107,Physician_Visit_Hospitalists, "&lt;&gt;"&amp;'Physician Types'!$D$81)+SUMIFS(Physician_Visit_July,Physician_Visit_Practice,July!B107,Physician_Visit_Hospitalists,'Physician Types'!$D$81)*INDEX(Physician_Type_Hospitalists_Visit_Minutes,MATCH(July!B107,Physician_Type_Practice,0))/INDEX(Physician_Type_Visit_Minutes,MATCH(July!B107,Physician_Type_Practice,0)) +SUMIF(Physician_Minutes_Practice,July!B107,Physician_Minutes_July)/INDEX(Physician_Type_Visit_Minutes,MATCH(July!B107,Physician_Type_Practice,0))</f>
        <v>0</v>
      </c>
      <c r="D107" s="43">
        <f t="shared" si="10"/>
        <v>0</v>
      </c>
      <c r="E107" s="17">
        <f>INDEX(Physician_Type_Bed_Rate,MATCH(July!B107,Physician_Type_Practice,0))*'Hospital Input Page'!$C$4</f>
        <v>7974.4690016090053</v>
      </c>
      <c r="F107" s="9">
        <f t="shared" si="12"/>
        <v>0</v>
      </c>
      <c r="H107" s="5">
        <f t="array" ref="H107">SUMIFS(Physician_Visit_July, Physician_Visit_Practice, July!B107, Independent_Contractor_Visits,  'Physician Types'!$D$81) + SUMIFS(Physician_Minutes_July,Physician_Minutes_Practice,July!B107, Independent_Contractor_Minutes, 'Physician Types'!$D$81)/INDEX(Physician_Type_Visit_Minutes,MATCH(July!B107,Physician_Type_Practice,0))</f>
        <v>0</v>
      </c>
      <c r="I107" s="43">
        <f t="shared" si="11"/>
        <v>0</v>
      </c>
      <c r="J107" s="10">
        <f>E107*'Physician Types'!$E$4</f>
        <v>239.23407004827015</v>
      </c>
      <c r="K107" s="10">
        <f t="shared" si="8"/>
        <v>0</v>
      </c>
    </row>
    <row r="108" spans="1:16" x14ac:dyDescent="0.2">
      <c r="A108" s="158">
        <v>4</v>
      </c>
      <c r="B108" s="128" t="s">
        <v>140</v>
      </c>
      <c r="C108" s="5">
        <f t="array" ref="C108">SUMIFS(Physician_Visit_July,Physician_Visit_Practice,July!B108,Physician_Visit_Hospitalists, "&lt;&gt;"&amp;'Physician Types'!$D$81)+SUMIFS(Physician_Visit_July,Physician_Visit_Practice,July!B108,Physician_Visit_Hospitalists,'Physician Types'!$D$81)*INDEX(Physician_Type_Hospitalists_Visit_Minutes,MATCH(July!B108,Physician_Type_Practice,0))/INDEX(Physician_Type_Visit_Minutes,MATCH(July!B108,Physician_Type_Practice,0)) +SUMIF(Physician_Minutes_Practice,July!B108,Physician_Minutes_July)/INDEX(Physician_Type_Visit_Minutes,MATCH(July!B108,Physician_Type_Practice,0))</f>
        <v>0</v>
      </c>
      <c r="D108" s="43">
        <f t="shared" si="10"/>
        <v>0</v>
      </c>
      <c r="E108" s="17">
        <f>INDEX(Physician_Type_Bed_Rate,MATCH(July!B108,Physician_Type_Practice,0))*'Hospital Input Page'!$C$4</f>
        <v>3159.7320884985265</v>
      </c>
      <c r="F108" s="9">
        <f t="shared" si="12"/>
        <v>0</v>
      </c>
      <c r="H108" s="5">
        <f t="array" ref="H108">SUMIFS(Physician_Visit_July, Physician_Visit_Practice, July!B108, Independent_Contractor_Visits,  'Physician Types'!$D$81) + SUMIFS(Physician_Minutes_July,Physician_Minutes_Practice,July!B108, Independent_Contractor_Minutes, 'Physician Types'!$D$81)/INDEX(Physician_Type_Visit_Minutes,MATCH(July!B108,Physician_Type_Practice,0))</f>
        <v>0</v>
      </c>
      <c r="I108" s="43">
        <f t="shared" si="11"/>
        <v>0</v>
      </c>
      <c r="J108" s="10">
        <f>E108*'Physician Types'!$E$4</f>
        <v>94.791962654955796</v>
      </c>
      <c r="K108" s="10">
        <f t="shared" si="8"/>
        <v>0</v>
      </c>
    </row>
    <row r="109" spans="1:16" x14ac:dyDescent="0.2">
      <c r="A109" s="158">
        <v>7</v>
      </c>
      <c r="B109" s="102" t="s">
        <v>76</v>
      </c>
      <c r="C109" s="5">
        <f t="array" ref="C109">SUMIFS(Physician_Visit_July,Physician_Visit_Practice,July!B109,Physician_Visit_Hospitalists, "&lt;&gt;"&amp;'Physician Types'!$D$81)+SUMIFS(Physician_Visit_July,Physician_Visit_Practice,July!B109,Physician_Visit_Hospitalists,'Physician Types'!$D$81)*INDEX(Physician_Type_Hospitalists_Visit_Minutes,MATCH(July!B109,Physician_Type_Practice,0))/INDEX(Physician_Type_Visit_Minutes,MATCH(July!B109,Physician_Type_Practice,0)) +SUMIF(Physician_Minutes_Practice,July!B109,Physician_Minutes_July)/INDEX(Physician_Type_Visit_Minutes,MATCH(July!B109,Physician_Type_Practice,0))</f>
        <v>0</v>
      </c>
      <c r="D109" s="43">
        <f t="shared" si="10"/>
        <v>0</v>
      </c>
      <c r="E109" s="17">
        <f>INDEX(Physician_Type_Bed_Rate,MATCH(July!B109,Physician_Type_Practice,0))*'Hospital Input Page'!$C$4</f>
        <v>7709.0436995485979</v>
      </c>
      <c r="F109" s="9">
        <f t="shared" si="12"/>
        <v>0</v>
      </c>
      <c r="H109" s="5">
        <f t="array" ref="H109">SUMIFS(Physician_Visit_July, Physician_Visit_Practice, July!B109, Independent_Contractor_Visits,  'Physician Types'!$D$81) + SUMIFS(Physician_Minutes_July,Physician_Minutes_Practice,July!B109, Independent_Contractor_Minutes, 'Physician Types'!$D$81)/INDEX(Physician_Type_Visit_Minutes,MATCH(July!B109,Physician_Type_Practice,0))</f>
        <v>0</v>
      </c>
      <c r="I109" s="43">
        <f t="shared" si="11"/>
        <v>0</v>
      </c>
      <c r="J109" s="10">
        <f>E109*'Physician Types'!$E$4</f>
        <v>231.27131098645793</v>
      </c>
      <c r="K109" s="10">
        <f t="shared" si="8"/>
        <v>0</v>
      </c>
    </row>
    <row r="110" spans="1:16" x14ac:dyDescent="0.2">
      <c r="A110" s="102"/>
      <c r="B110" s="164" t="s">
        <v>156</v>
      </c>
      <c r="C110" s="5" t="e">
        <f t="array" ref="C110">SUMIFS(Physician_Visit_July,Physician_Visit_Practice,July!B110,Physician_Visit_Hospitalists, "&lt;&gt;"&amp;'Physician Types'!$D$81)+SUMIFS(Physician_Visit_July,Physician_Visit_Practice,July!B110,Physician_Visit_Hospitalists,'Physician Types'!$D$81)*INDEX(Physician_Type_Hospitalists_Visit_Minutes,MATCH(July!B110,Physician_Type_Practice,0))/INDEX(Physician_Type_Visit_Minutes,MATCH(July!B110,Physician_Type_Practice,0)) +SUMIF(Physician_Minutes_Practice,July!B110,Physician_Minutes_July)/INDEX(Physician_Type_Visit_Minutes,MATCH(July!B110,Physician_Type_Practice,0))</f>
        <v>#REF!</v>
      </c>
      <c r="D110" s="43" t="e">
        <f t="shared" si="10"/>
        <v>#REF!</v>
      </c>
      <c r="E110" s="17" t="e">
        <f>INDEX(Physician_Type_Bed_Rate,MATCH(July!B110,Physician_Type_Practice,0))*'Hospital Input Page'!$C$4</f>
        <v>#REF!</v>
      </c>
      <c r="F110" s="9" t="e">
        <f t="shared" si="12"/>
        <v>#REF!</v>
      </c>
      <c r="H110" s="5" t="e">
        <f t="array" ref="H110">SUMIFS(Physician_Visit_July, Physician_Visit_Practice, July!B110, Independent_Contractor_Visits,  'Physician Types'!$D$81) + SUMIFS(Physician_Minutes_July,Physician_Minutes_Practice,July!B110, Independent_Contractor_Minutes, 'Physician Types'!$D$81)/INDEX(Physician_Type_Visit_Minutes,MATCH(July!B110,Physician_Type_Practice,0))</f>
        <v>#REF!</v>
      </c>
      <c r="I110" s="43" t="e">
        <f t="shared" si="11"/>
        <v>#REF!</v>
      </c>
      <c r="J110" s="10" t="e">
        <f>E110*'Physician Types'!$E$4</f>
        <v>#REF!</v>
      </c>
      <c r="K110" s="10" t="e">
        <f t="shared" si="8"/>
        <v>#REF!</v>
      </c>
    </row>
    <row r="111" spans="1:16" x14ac:dyDescent="0.2">
      <c r="A111" s="102"/>
      <c r="B111" s="164" t="s">
        <v>156</v>
      </c>
      <c r="C111" s="5" t="e">
        <f t="array" ref="C111">SUMIFS(Physician_Visit_July,Physician_Visit_Practice,July!B111,Physician_Visit_Hospitalists, "&lt;&gt;"&amp;'Physician Types'!$D$81)+SUMIFS(Physician_Visit_July,Physician_Visit_Practice,July!B111,Physician_Visit_Hospitalists,'Physician Types'!$D$81)*INDEX(Physician_Type_Hospitalists_Visit_Minutes,MATCH(July!B111,Physician_Type_Practice,0))/INDEX(Physician_Type_Visit_Minutes,MATCH(July!B111,Physician_Type_Practice,0)) +SUMIF(Physician_Minutes_Practice,July!B111,Physician_Minutes_July)/INDEX(Physician_Type_Visit_Minutes,MATCH(July!B111,Physician_Type_Practice,0))</f>
        <v>#REF!</v>
      </c>
      <c r="D111" s="43" t="e">
        <f t="shared" ref="D111:D112" si="17">C111*INDEX(Physician_Type_Visit_Minutes,MATCH(B111,Physician_Type_Practice,0))/INDEX(Physician_Type_FTE_Minutes,MATCH(B111,Physician_Type_Practice,0))</f>
        <v>#REF!</v>
      </c>
      <c r="E111" s="17" t="e">
        <f>INDEX(Physician_Type_Bed_Rate,MATCH(July!B111,Physician_Type_Practice,0))*'Hospital Input Page'!$C$4</f>
        <v>#REF!</v>
      </c>
      <c r="F111" s="9" t="e">
        <f t="shared" si="12"/>
        <v>#REF!</v>
      </c>
      <c r="H111" s="5" t="e">
        <f t="array" ref="H111">SUMIFS(Physician_Visit_July, Physician_Visit_Practice, July!B111, Independent_Contractor_Visits,  'Physician Types'!$D$81) + SUMIFS(Physician_Minutes_July,Physician_Minutes_Practice,July!B111, Independent_Contractor_Minutes, 'Physician Types'!$D$81)/INDEX(Physician_Type_Visit_Minutes,MATCH(July!B111,Physician_Type_Practice,0))</f>
        <v>#REF!</v>
      </c>
      <c r="I111" s="43" t="e">
        <f t="shared" ref="I111:I112" si="18">H111*INDEX(Physician_Type_Visit_Minutes,MATCH(B111,Physician_Type_Practice,0))/INDEX(Physician_Type_FTE_Minutes,MATCH(B111,Physician_Type_Practice,0))</f>
        <v>#REF!</v>
      </c>
      <c r="J111" s="10" t="e">
        <f>E111*'Physician Types'!$E$4</f>
        <v>#REF!</v>
      </c>
      <c r="K111" s="10" t="e">
        <f t="shared" si="8"/>
        <v>#REF!</v>
      </c>
    </row>
    <row r="112" spans="1:16" x14ac:dyDescent="0.2">
      <c r="A112" s="102"/>
      <c r="B112" s="164" t="s">
        <v>156</v>
      </c>
      <c r="C112" s="5" t="e">
        <f t="array" ref="C112">SUMIFS(Physician_Visit_July,Physician_Visit_Practice,July!B112,Physician_Visit_Hospitalists, "&lt;&gt;"&amp;'Physician Types'!$D$81)+SUMIFS(Physician_Visit_July,Physician_Visit_Practice,July!B112,Physician_Visit_Hospitalists,'Physician Types'!$D$81)*INDEX(Physician_Type_Hospitalists_Visit_Minutes,MATCH(July!B112,Physician_Type_Practice,0))/INDEX(Physician_Type_Visit_Minutes,MATCH(July!B112,Physician_Type_Practice,0)) +SUMIF(Physician_Minutes_Practice,July!B112,Physician_Minutes_July)/INDEX(Physician_Type_Visit_Minutes,MATCH(July!B112,Physician_Type_Practice,0))</f>
        <v>#REF!</v>
      </c>
      <c r="D112" s="43" t="e">
        <f t="shared" si="17"/>
        <v>#REF!</v>
      </c>
      <c r="E112" s="17" t="e">
        <f>INDEX(Physician_Type_Bed_Rate,MATCH(July!B112,Physician_Type_Practice,0))*'Hospital Input Page'!$C$4</f>
        <v>#REF!</v>
      </c>
      <c r="F112" s="9" t="e">
        <f t="shared" si="12"/>
        <v>#REF!</v>
      </c>
      <c r="H112" s="5" t="e">
        <f t="array" ref="H112">SUMIFS(Physician_Visit_July, Physician_Visit_Practice, July!B112, Independent_Contractor_Visits,  'Physician Types'!$D$81) + SUMIFS(Physician_Minutes_July,Physician_Minutes_Practice,July!B112, Independent_Contractor_Minutes, 'Physician Types'!$D$81)/INDEX(Physician_Type_Visit_Minutes,MATCH(July!B112,Physician_Type_Practice,0))</f>
        <v>#REF!</v>
      </c>
      <c r="I112" s="43" t="e">
        <f t="shared" si="18"/>
        <v>#REF!</v>
      </c>
      <c r="J112" s="10" t="e">
        <f>E112*'Physician Types'!$E$4</f>
        <v>#REF!</v>
      </c>
      <c r="K112" s="10" t="e">
        <f t="shared" ref="K112" si="19">I112*J112</f>
        <v>#REF!</v>
      </c>
    </row>
    <row r="113" spans="1:11" x14ac:dyDescent="0.2">
      <c r="A113" s="102"/>
      <c r="B113" s="164" t="s">
        <v>156</v>
      </c>
      <c r="C113" s="5" t="e">
        <f t="array" ref="C113">SUMIFS(Physician_Visit_July,Physician_Visit_Practice,July!B113,Physician_Visit_Hospitalists, "&lt;&gt;"&amp;'Physician Types'!$D$81)+SUMIFS(Physician_Visit_July,Physician_Visit_Practice,July!B113,Physician_Visit_Hospitalists,'Physician Types'!$D$81)*INDEX(Physician_Type_Hospitalists_Visit_Minutes,MATCH(July!B113,Physician_Type_Practice,0))/INDEX(Physician_Type_Visit_Minutes,MATCH(July!B113,Physician_Type_Practice,0)) +SUMIF(Physician_Minutes_Practice,July!B113,Physician_Minutes_July)/INDEX(Physician_Type_Visit_Minutes,MATCH(July!B113,Physician_Type_Practice,0))</f>
        <v>#REF!</v>
      </c>
      <c r="D113" s="43" t="e">
        <f t="shared" ref="D113:D116" si="20">C113*INDEX(Physician_Type_Visit_Minutes,MATCH(B113,Physician_Type_Practice,0))/INDEX(Physician_Type_FTE_Minutes,MATCH(B113,Physician_Type_Practice,0))</f>
        <v>#REF!</v>
      </c>
      <c r="E113" s="17" t="e">
        <f>INDEX(Physician_Type_Bed_Rate,MATCH(July!B113,Physician_Type_Practice,0))*'Hospital Input Page'!$C$4</f>
        <v>#REF!</v>
      </c>
      <c r="F113" s="9" t="e">
        <f t="shared" ref="F113:F116" si="21">D113*E113</f>
        <v>#REF!</v>
      </c>
      <c r="H113" s="5" t="e">
        <f t="array" ref="H113">SUMIFS(Physician_Visit_July, Physician_Visit_Practice, July!B113, Independent_Contractor_Visits,  'Physician Types'!$D$81) + SUMIFS(Physician_Minutes_July,Physician_Minutes_Practice,July!B113, Independent_Contractor_Minutes, 'Physician Types'!$D$81)/INDEX(Physician_Type_Visit_Minutes,MATCH(July!B113,Physician_Type_Practice,0))</f>
        <v>#REF!</v>
      </c>
      <c r="I113" s="43" t="e">
        <f t="shared" ref="I113:I116" si="22">H113*INDEX(Physician_Type_Visit_Minutes,MATCH(B113,Physician_Type_Practice,0))/INDEX(Physician_Type_FTE_Minutes,MATCH(B113,Physician_Type_Practice,0))</f>
        <v>#REF!</v>
      </c>
      <c r="J113" s="10" t="e">
        <f>E113*'Physician Types'!$E$4</f>
        <v>#REF!</v>
      </c>
      <c r="K113" s="10" t="e">
        <f t="shared" ref="K113:K116" si="23">I113*J113</f>
        <v>#REF!</v>
      </c>
    </row>
    <row r="114" spans="1:11" x14ac:dyDescent="0.2">
      <c r="A114" s="102"/>
      <c r="B114" s="164" t="s">
        <v>156</v>
      </c>
      <c r="C114" s="5" t="e">
        <f t="array" ref="C114">SUMIFS(Physician_Visit_July,Physician_Visit_Practice,July!B114,Physician_Visit_Hospitalists, "&lt;&gt;"&amp;'Physician Types'!$D$81)+SUMIFS(Physician_Visit_July,Physician_Visit_Practice,July!B114,Physician_Visit_Hospitalists,'Physician Types'!$D$81)*INDEX(Physician_Type_Hospitalists_Visit_Minutes,MATCH(July!B114,Physician_Type_Practice,0))/INDEX(Physician_Type_Visit_Minutes,MATCH(July!B114,Physician_Type_Practice,0)) +SUMIF(Physician_Minutes_Practice,July!B114,Physician_Minutes_July)/INDEX(Physician_Type_Visit_Minutes,MATCH(July!B114,Physician_Type_Practice,0))</f>
        <v>#REF!</v>
      </c>
      <c r="D114" s="43" t="e">
        <f t="shared" si="20"/>
        <v>#REF!</v>
      </c>
      <c r="E114" s="17" t="e">
        <f>INDEX(Physician_Type_Bed_Rate,MATCH(July!B114,Physician_Type_Practice,0))*'Hospital Input Page'!$C$4</f>
        <v>#REF!</v>
      </c>
      <c r="F114" s="9" t="e">
        <f t="shared" si="21"/>
        <v>#REF!</v>
      </c>
      <c r="H114" s="5" t="e">
        <f t="array" ref="H114">SUMIFS(Physician_Visit_July, Physician_Visit_Practice, July!B114, Independent_Contractor_Visits,  'Physician Types'!$D$81) + SUMIFS(Physician_Minutes_July,Physician_Minutes_Practice,July!B114, Independent_Contractor_Minutes, 'Physician Types'!$D$81)/INDEX(Physician_Type_Visit_Minutes,MATCH(July!B114,Physician_Type_Practice,0))</f>
        <v>#REF!</v>
      </c>
      <c r="I114" s="43" t="e">
        <f t="shared" si="22"/>
        <v>#REF!</v>
      </c>
      <c r="J114" s="10" t="e">
        <f>E114*'Physician Types'!$E$4</f>
        <v>#REF!</v>
      </c>
      <c r="K114" s="10" t="e">
        <f t="shared" si="23"/>
        <v>#REF!</v>
      </c>
    </row>
    <row r="115" spans="1:11" x14ac:dyDescent="0.2">
      <c r="A115" s="102"/>
      <c r="B115" s="164" t="s">
        <v>156</v>
      </c>
      <c r="C115" s="5" t="e">
        <f t="array" ref="C115">SUMIFS(Physician_Visit_July,Physician_Visit_Practice,July!B115,Physician_Visit_Hospitalists, "&lt;&gt;"&amp;'Physician Types'!$D$81)+SUMIFS(Physician_Visit_July,Physician_Visit_Practice,July!B115,Physician_Visit_Hospitalists,'Physician Types'!$D$81)*INDEX(Physician_Type_Hospitalists_Visit_Minutes,MATCH(July!B115,Physician_Type_Practice,0))/INDEX(Physician_Type_Visit_Minutes,MATCH(July!B115,Physician_Type_Practice,0)) +SUMIF(Physician_Minutes_Practice,July!B115,Physician_Minutes_July)/INDEX(Physician_Type_Visit_Minutes,MATCH(July!B115,Physician_Type_Practice,0))</f>
        <v>#REF!</v>
      </c>
      <c r="D115" s="43" t="e">
        <f t="shared" si="20"/>
        <v>#REF!</v>
      </c>
      <c r="E115" s="17" t="e">
        <f>INDEX(Physician_Type_Bed_Rate,MATCH(July!B115,Physician_Type_Practice,0))*'Hospital Input Page'!$C$4</f>
        <v>#REF!</v>
      </c>
      <c r="F115" s="9" t="e">
        <f t="shared" si="21"/>
        <v>#REF!</v>
      </c>
      <c r="H115" s="5" t="e">
        <f t="array" ref="H115">SUMIFS(Physician_Visit_July, Physician_Visit_Practice, July!B115, Independent_Contractor_Visits,  'Physician Types'!$D$81) + SUMIFS(Physician_Minutes_July,Physician_Minutes_Practice,July!B115, Independent_Contractor_Minutes, 'Physician Types'!$D$81)/INDEX(Physician_Type_Visit_Minutes,MATCH(July!B115,Physician_Type_Practice,0))</f>
        <v>#REF!</v>
      </c>
      <c r="I115" s="43" t="e">
        <f t="shared" si="22"/>
        <v>#REF!</v>
      </c>
      <c r="J115" s="10" t="e">
        <f>E115*'Physician Types'!$E$4</f>
        <v>#REF!</v>
      </c>
      <c r="K115" s="10" t="e">
        <f t="shared" si="23"/>
        <v>#REF!</v>
      </c>
    </row>
    <row r="116" spans="1:11" x14ac:dyDescent="0.2">
      <c r="A116" s="102"/>
      <c r="B116" s="164" t="s">
        <v>156</v>
      </c>
      <c r="C116" s="5" t="e">
        <f t="array" ref="C116">SUMIFS(Physician_Visit_July,Physician_Visit_Practice,July!B116,Physician_Visit_Hospitalists, "&lt;&gt;"&amp;'Physician Types'!$D$81)+SUMIFS(Physician_Visit_July,Physician_Visit_Practice,July!B116,Physician_Visit_Hospitalists,'Physician Types'!$D$81)*INDEX(Physician_Type_Hospitalists_Visit_Minutes,MATCH(July!B116,Physician_Type_Practice,0))/INDEX(Physician_Type_Visit_Minutes,MATCH(July!B116,Physician_Type_Practice,0)) +SUMIF(Physician_Minutes_Practice,July!B116,Physician_Minutes_July)/INDEX(Physician_Type_Visit_Minutes,MATCH(July!B116,Physician_Type_Practice,0))</f>
        <v>#REF!</v>
      </c>
      <c r="D116" s="43" t="e">
        <f t="shared" si="20"/>
        <v>#REF!</v>
      </c>
      <c r="E116" s="17" t="e">
        <f>INDEX(Physician_Type_Bed_Rate,MATCH(July!B116,Physician_Type_Practice,0))*'Hospital Input Page'!$C$4</f>
        <v>#REF!</v>
      </c>
      <c r="F116" s="9" t="e">
        <f t="shared" si="21"/>
        <v>#REF!</v>
      </c>
      <c r="H116" s="5" t="e">
        <f t="array" ref="H116">SUMIFS(Physician_Visit_July, Physician_Visit_Practice, July!B116, Independent_Contractor_Visits,  'Physician Types'!$D$81) + SUMIFS(Physician_Minutes_July,Physician_Minutes_Practice,July!B116, Independent_Contractor_Minutes, 'Physician Types'!$D$81)/INDEX(Physician_Type_Visit_Minutes,MATCH(July!B116,Physician_Type_Practice,0))</f>
        <v>#REF!</v>
      </c>
      <c r="I116" s="43" t="e">
        <f t="shared" si="22"/>
        <v>#REF!</v>
      </c>
      <c r="J116" s="10" t="e">
        <f>E116*'Physician Types'!$E$4</f>
        <v>#REF!</v>
      </c>
      <c r="K116" s="10" t="e">
        <f t="shared" si="23"/>
        <v>#REF!</v>
      </c>
    </row>
    <row r="117" spans="1:11" x14ac:dyDescent="0.2">
      <c r="C117" s="5"/>
      <c r="D117" s="17"/>
      <c r="E117" s="28"/>
      <c r="G117" s="39"/>
    </row>
    <row r="118" spans="1:11" x14ac:dyDescent="0.2">
      <c r="B118" s="73"/>
      <c r="C118" s="5"/>
      <c r="D118" s="17"/>
      <c r="E118" s="28"/>
      <c r="G118" s="39"/>
    </row>
    <row r="119" spans="1:11" x14ac:dyDescent="0.2">
      <c r="B119" s="46" t="s">
        <v>106</v>
      </c>
      <c r="C119" s="149"/>
      <c r="D119" s="150"/>
      <c r="E119" s="151"/>
      <c r="F119" s="48">
        <f>SUMIF(F46:F116,"&lt;&gt;#REF!",F46:F116)</f>
        <v>2575.7679367373312</v>
      </c>
      <c r="G119" s="46"/>
      <c r="H119" s="46"/>
      <c r="I119" s="46"/>
      <c r="J119" s="46"/>
      <c r="K119" s="48">
        <f>SUMIF(K46:K116,"&lt;&gt;#REF!",K46:K116)</f>
        <v>0.22421025039273362</v>
      </c>
    </row>
    <row r="120" spans="1:11" x14ac:dyDescent="0.2">
      <c r="C120" s="9"/>
    </row>
    <row r="121" spans="1:11" x14ac:dyDescent="0.2">
      <c r="C121" s="9"/>
    </row>
    <row r="123" spans="1:11" x14ac:dyDescent="0.2">
      <c r="C123" s="5"/>
    </row>
    <row r="125" spans="1:11" x14ac:dyDescent="0.2">
      <c r="C125" s="5"/>
    </row>
    <row r="126" spans="1:11" x14ac:dyDescent="0.2">
      <c r="C126" s="5"/>
    </row>
    <row r="127" spans="1:11" x14ac:dyDescent="0.2">
      <c r="C127" s="5"/>
    </row>
    <row r="129" spans="3:3" x14ac:dyDescent="0.2">
      <c r="C129" s="5"/>
    </row>
  </sheetData>
  <sheetProtection algorithmName="SHA-512" hashValue="RzD5ViZC3uaRONctIwerIAu36y9FY22zOS+DIvoAF/FM78sTPsAyZ0hpD/Tp+tedky6ZNyal9B+c0KT6yW4Pow==" saltValue="QcN00AgDvWT9T8aVvLjg+Q==" spinCount="100000" sheet="1" objects="1" scenarios="1"/>
  <sortState xmlns:xlrd2="http://schemas.microsoft.com/office/spreadsheetml/2017/richdata2" ref="H46:K111">
    <sortCondition ref="H46"/>
  </sortState>
  <customSheetViews>
    <customSheetView guid="{4B7E793F-FF7C-4BA4-8EC7-9B719AA3D607}" fitToPage="1" printArea="1">
      <selection activeCell="B7" sqref="B7:C7"/>
      <pageMargins left="0.5" right="0.5" top="0.5" bottom="0.5" header="0.5" footer="0.5"/>
      <printOptions gridLines="1"/>
      <pageSetup scale="97" orientation="portrait" r:id="rId1"/>
      <headerFooter alignWithMargins="0"/>
    </customSheetView>
  </customSheetViews>
  <phoneticPr fontId="8" type="noConversion"/>
  <printOptions headings="1"/>
  <pageMargins left="0.5" right="0.5" top="0.5" bottom="0.5" header="0.5" footer="0.5"/>
  <pageSetup scale="89" orientation="portrait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N119"/>
  <sheetViews>
    <sheetView topLeftCell="A4" zoomScaleNormal="100" workbookViewId="0">
      <selection activeCell="E19" sqref="E19:F20"/>
    </sheetView>
  </sheetViews>
  <sheetFormatPr defaultRowHeight="12.75" x14ac:dyDescent="0.2"/>
  <cols>
    <col min="1" max="1" width="3.7109375" customWidth="1"/>
    <col min="2" max="2" width="52.42578125" customWidth="1"/>
    <col min="3" max="3" width="11.7109375" customWidth="1"/>
    <col min="4" max="4" width="10.42578125" style="8" customWidth="1"/>
    <col min="5" max="5" width="9.140625" style="6" bestFit="1" customWidth="1"/>
    <col min="6" max="6" width="12.85546875" customWidth="1"/>
    <col min="8" max="8" width="12.28515625" customWidth="1"/>
    <col min="11" max="11" width="10.28515625" customWidth="1"/>
    <col min="12" max="12" width="9" bestFit="1" customWidth="1"/>
    <col min="13" max="13" width="9.7109375" bestFit="1" customWidth="1"/>
    <col min="14" max="14" width="9" bestFit="1" customWidth="1"/>
  </cols>
  <sheetData>
    <row r="1" spans="1:8" ht="15.75" x14ac:dyDescent="0.25">
      <c r="A1" s="18" t="str">
        <f>'Hospital Input Page'!A1</f>
        <v>Grover Dils</v>
      </c>
      <c r="B1" s="19"/>
      <c r="C1" s="18" t="s">
        <v>103</v>
      </c>
      <c r="D1" s="196">
        <f>'Hospital Input Page'!L6</f>
        <v>2020</v>
      </c>
      <c r="E1" s="19"/>
    </row>
    <row r="2" spans="1:8" ht="15.75" x14ac:dyDescent="0.25">
      <c r="A2" s="18" t="str">
        <f>'Hospital Input Page'!A2</f>
        <v>LiCON MONTHLY REPORT FORM (MRF)</v>
      </c>
      <c r="B2" s="19"/>
      <c r="C2" s="19"/>
      <c r="D2" s="20"/>
      <c r="E2" s="19"/>
    </row>
    <row r="3" spans="1:8" ht="15.75" customHeight="1" x14ac:dyDescent="0.25">
      <c r="A3" s="18"/>
      <c r="B3" s="21"/>
      <c r="D3" s="20"/>
      <c r="E3" s="22"/>
      <c r="F3" s="38"/>
    </row>
    <row r="5" spans="1:8" ht="15.75" x14ac:dyDescent="0.25">
      <c r="B5" s="21" t="s">
        <v>24</v>
      </c>
      <c r="C5" s="168">
        <f>F39</f>
        <v>4081.1901172088483</v>
      </c>
      <c r="E5"/>
    </row>
    <row r="6" spans="1:8" x14ac:dyDescent="0.2">
      <c r="C6" s="2"/>
    </row>
    <row r="7" spans="1:8" x14ac:dyDescent="0.2">
      <c r="B7" s="58" t="str">
        <f>'Hospital Input Page'!$B$5</f>
        <v>Deductible</v>
      </c>
      <c r="C7" s="58">
        <f>'Hospital Input Page'!$C$5</f>
        <v>10000</v>
      </c>
    </row>
    <row r="8" spans="1:8" x14ac:dyDescent="0.2">
      <c r="B8" s="1"/>
      <c r="C8" s="3"/>
    </row>
    <row r="9" spans="1:8" ht="13.5" thickBot="1" x14ac:dyDescent="0.25">
      <c r="A9" s="4"/>
      <c r="B9" s="23" t="s">
        <v>0</v>
      </c>
      <c r="C9" s="23" t="s">
        <v>1</v>
      </c>
      <c r="D9" s="24" t="s">
        <v>27</v>
      </c>
      <c r="E9" s="25"/>
      <c r="F9" s="49" t="s">
        <v>111</v>
      </c>
    </row>
    <row r="10" spans="1:8" ht="12.95" customHeight="1" x14ac:dyDescent="0.2">
      <c r="A10" s="29">
        <v>1</v>
      </c>
      <c r="B10" s="113" t="s">
        <v>2</v>
      </c>
      <c r="C10" s="5">
        <f>INDEX(Hospital_Exposure_April, MATCH(April!B10,Hospital_Exposure_Name,0))</f>
        <v>0.84</v>
      </c>
      <c r="D10" s="17">
        <f>INDEX(Hospital_Exposure_Rate,MATCH(April!B10,Hospital_Exposure_Name,0))</f>
        <v>527.69012023747894</v>
      </c>
      <c r="E10" s="28" t="s">
        <v>21</v>
      </c>
      <c r="F10" s="50">
        <f t="shared" ref="F10:F15" si="0">C10*D10</f>
        <v>443.25970099948228</v>
      </c>
    </row>
    <row r="11" spans="1:8" ht="12.95" customHeight="1" x14ac:dyDescent="0.2">
      <c r="A11" s="29">
        <f>A10+1</f>
        <v>2</v>
      </c>
      <c r="B11" s="118" t="s">
        <v>3</v>
      </c>
      <c r="C11" s="5">
        <f>INDEX(Hospital_Exposure_April, MATCH(April!B11,Hospital_Exposure_Name,0))</f>
        <v>0</v>
      </c>
      <c r="D11" s="17">
        <f>INDEX(Hospital_Exposure_Rate,MATCH(April!B11,Hospital_Exposure_Name,0))</f>
        <v>527.69012023747894</v>
      </c>
      <c r="E11" s="28" t="s">
        <v>21</v>
      </c>
      <c r="F11" s="50">
        <f t="shared" si="0"/>
        <v>0</v>
      </c>
    </row>
    <row r="12" spans="1:8" ht="12.95" customHeight="1" x14ac:dyDescent="0.2">
      <c r="A12" s="29">
        <f t="shared" ref="A12:A35" si="1">A11+1</f>
        <v>3</v>
      </c>
      <c r="B12" s="118" t="s">
        <v>4</v>
      </c>
      <c r="C12" s="5">
        <f>INDEX(Hospital_Exposure_April, MATCH(April!B12,Hospital_Exposure_Name,0))</f>
        <v>17.440000000000001</v>
      </c>
      <c r="D12" s="17">
        <f>INDEX(Hospital_Exposure_Rate,MATCH(April!B12,Hospital_Exposure_Name,0))</f>
        <v>63.322814428497473</v>
      </c>
      <c r="E12" s="28" t="s">
        <v>21</v>
      </c>
      <c r="F12" s="50">
        <f t="shared" si="0"/>
        <v>1104.3498836329961</v>
      </c>
    </row>
    <row r="13" spans="1:8" ht="12.95" customHeight="1" x14ac:dyDescent="0.2">
      <c r="A13" s="29">
        <f t="shared" si="1"/>
        <v>4</v>
      </c>
      <c r="B13" s="118" t="s">
        <v>5</v>
      </c>
      <c r="C13" s="5">
        <f>INDEX(Hospital_Exposure_April, MATCH(April!B13,Hospital_Exposure_Name,0))</f>
        <v>0</v>
      </c>
      <c r="D13" s="17">
        <f>INDEX(Hospital_Exposure_Rate,MATCH(April!B13,Hospital_Exposure_Name,0))</f>
        <v>369.38308416623522</v>
      </c>
      <c r="E13" s="28" t="s">
        <v>21</v>
      </c>
      <c r="F13" s="50">
        <f t="shared" si="0"/>
        <v>0</v>
      </c>
    </row>
    <row r="14" spans="1:8" ht="12.95" customHeight="1" x14ac:dyDescent="0.2">
      <c r="A14" s="29">
        <f t="shared" si="1"/>
        <v>5</v>
      </c>
      <c r="B14" s="118" t="s">
        <v>6</v>
      </c>
      <c r="C14" s="5">
        <f>INDEX(Hospital_Exposure_April, MATCH(April!B14,Hospital_Exposure_Name,0))</f>
        <v>0</v>
      </c>
      <c r="D14" s="17">
        <f>INDEX(Hospital_Exposure_Rate,MATCH(April!B14,Hospital_Exposure_Name,0))</f>
        <v>237.988244227103</v>
      </c>
      <c r="E14" s="28" t="s">
        <v>21</v>
      </c>
      <c r="F14" s="50">
        <f t="shared" si="0"/>
        <v>0</v>
      </c>
    </row>
    <row r="15" spans="1:8" ht="12.95" customHeight="1" x14ac:dyDescent="0.2">
      <c r="A15" s="29">
        <f t="shared" si="1"/>
        <v>6</v>
      </c>
      <c r="B15" s="118" t="s">
        <v>7</v>
      </c>
      <c r="C15" s="5">
        <f>INDEX(Hospital_Exposure_April, MATCH(April!B15,Hospital_Exposure_Name,0))</f>
        <v>0</v>
      </c>
      <c r="D15" s="17">
        <f>INDEX(Hospital_Exposure_Rate,MATCH(April!B15,Hospital_Exposure_Name,0))</f>
        <v>184.69154208311761</v>
      </c>
      <c r="E15" s="28" t="s">
        <v>21</v>
      </c>
      <c r="F15" s="50">
        <f t="shared" si="0"/>
        <v>0</v>
      </c>
    </row>
    <row r="16" spans="1:8" ht="12.95" customHeight="1" x14ac:dyDescent="0.2">
      <c r="A16" s="29">
        <f t="shared" si="1"/>
        <v>7</v>
      </c>
      <c r="B16" s="122" t="s">
        <v>114</v>
      </c>
      <c r="C16" s="5">
        <f>INDEX(Hospital_Exposure_April, MATCH(April!B16,Hospital_Exposure_Name,0))</f>
        <v>57</v>
      </c>
      <c r="D16" s="17">
        <f>INDEX(Hospital_Exposure_Rate,MATCH(April!B16,Hospital_Exposure_Name,0))</f>
        <v>89.707320440371419</v>
      </c>
      <c r="E16" s="28" t="s">
        <v>22</v>
      </c>
      <c r="F16" s="50">
        <f>C16*D16/100</f>
        <v>51.133172651011712</v>
      </c>
      <c r="H16" s="31"/>
    </row>
    <row r="17" spans="1:8" ht="12.95" customHeight="1" x14ac:dyDescent="0.2">
      <c r="A17" s="29">
        <f t="shared" si="1"/>
        <v>8</v>
      </c>
      <c r="B17" s="122" t="s">
        <v>115</v>
      </c>
      <c r="C17" s="5">
        <f>INDEX(Hospital_Exposure_April, MATCH(April!B17,Hospital_Exposure_Name,0))</f>
        <v>1102</v>
      </c>
      <c r="D17" s="17">
        <f>INDEX(Hospital_Exposure_Rate,MATCH(April!B17,Hospital_Exposure_Name,0))</f>
        <v>21.107604809499158</v>
      </c>
      <c r="E17" s="28" t="s">
        <v>22</v>
      </c>
      <c r="F17" s="50">
        <f>C17*D17/100</f>
        <v>232.6058050006807</v>
      </c>
      <c r="H17" s="31"/>
    </row>
    <row r="18" spans="1:8" ht="12.95" customHeight="1" x14ac:dyDescent="0.2">
      <c r="A18" s="29">
        <f t="shared" si="1"/>
        <v>9</v>
      </c>
      <c r="B18" s="122" t="s">
        <v>116</v>
      </c>
      <c r="C18" s="5">
        <f>INDEX(Hospital_Exposure_April, MATCH(April!B18,Hospital_Exposure_Name,0))</f>
        <v>0</v>
      </c>
      <c r="D18" s="17">
        <f>INDEX(Hospital_Exposure_Rate,MATCH(April!B18,Hospital_Exposure_Name,0))</f>
        <v>1.1609182645224538</v>
      </c>
      <c r="E18" s="28" t="s">
        <v>22</v>
      </c>
      <c r="F18" s="50">
        <f>C18*D18/100</f>
        <v>0</v>
      </c>
    </row>
    <row r="19" spans="1:8" ht="12.95" customHeight="1" x14ac:dyDescent="0.2">
      <c r="A19" s="29">
        <f t="shared" si="1"/>
        <v>10</v>
      </c>
      <c r="B19" s="118" t="s">
        <v>8</v>
      </c>
      <c r="C19" s="5">
        <f>INDEX(Hospital_Exposure_April, MATCH(April!B19,Hospital_Exposure_Name,0))</f>
        <v>0</v>
      </c>
      <c r="D19" s="17">
        <f>INDEX(Hospital_Exposure_Rate,MATCH(April!B19,Hospital_Exposure_Name,0))</f>
        <v>26.384506011873949</v>
      </c>
      <c r="E19" s="28" t="s">
        <v>23</v>
      </c>
      <c r="F19" s="50">
        <f>C19*D19</f>
        <v>0</v>
      </c>
    </row>
    <row r="20" spans="1:8" ht="12.95" customHeight="1" x14ac:dyDescent="0.2">
      <c r="A20" s="29">
        <f t="shared" si="1"/>
        <v>11</v>
      </c>
      <c r="B20" s="118" t="s">
        <v>9</v>
      </c>
      <c r="C20" s="5">
        <f>INDEX(Hospital_Exposure_April, MATCH(April!B20,Hospital_Exposure_Name,0))</f>
        <v>0</v>
      </c>
      <c r="D20" s="17">
        <f>INDEX(Hospital_Exposure_Rate,MATCH(April!B20,Hospital_Exposure_Name,0))</f>
        <v>10.553802404749579</v>
      </c>
      <c r="E20" s="28" t="s">
        <v>23</v>
      </c>
      <c r="F20" s="50">
        <f>C20*D20</f>
        <v>0</v>
      </c>
    </row>
    <row r="21" spans="1:8" ht="12.95" customHeight="1" x14ac:dyDescent="0.2">
      <c r="A21" s="29">
        <f t="shared" si="1"/>
        <v>12</v>
      </c>
      <c r="B21" s="118" t="s">
        <v>10</v>
      </c>
      <c r="C21" s="5">
        <f>INDEX(Hospital_Exposure_April, MATCH(April!B21,Hospital_Exposure_Name,0))</f>
        <v>0</v>
      </c>
      <c r="D21" s="17">
        <f>INDEX(Hospital_Exposure_Rate,MATCH(April!B21,Hospital_Exposure_Name,0))</f>
        <v>79.153518035621843</v>
      </c>
      <c r="E21" s="28" t="s">
        <v>23</v>
      </c>
      <c r="F21" s="50">
        <f t="shared" ref="F21:F23" si="2">C21*D21</f>
        <v>0</v>
      </c>
    </row>
    <row r="22" spans="1:8" ht="12.95" customHeight="1" x14ac:dyDescent="0.2">
      <c r="A22" s="29">
        <f t="shared" si="1"/>
        <v>13</v>
      </c>
      <c r="B22" s="118" t="s">
        <v>11</v>
      </c>
      <c r="C22" s="5">
        <f>INDEX(Hospital_Exposure_April, MATCH(April!B22,Hospital_Exposure_Name,0))</f>
        <v>0</v>
      </c>
      <c r="D22" s="17">
        <f>INDEX(Hospital_Exposure_Rate,MATCH(April!B22,Hospital_Exposure_Name,0))</f>
        <v>79.153518035621843</v>
      </c>
      <c r="E22" s="28" t="s">
        <v>23</v>
      </c>
      <c r="F22" s="50">
        <f t="shared" si="2"/>
        <v>0</v>
      </c>
    </row>
    <row r="23" spans="1:8" ht="12.95" customHeight="1" x14ac:dyDescent="0.2">
      <c r="A23" s="29">
        <f t="shared" si="1"/>
        <v>14</v>
      </c>
      <c r="B23" s="122" t="s">
        <v>117</v>
      </c>
      <c r="C23" s="5">
        <f>INDEX(Hospital_Exposure_April, MATCH(April!B23,Hospital_Exposure_Name,0))</f>
        <v>0</v>
      </c>
      <c r="D23" s="17">
        <f>INDEX(Hospital_Exposure_Rate,MATCH(April!B23,Hospital_Exposure_Name,0))</f>
        <v>341.38512486587695</v>
      </c>
      <c r="E23" s="28" t="s">
        <v>23</v>
      </c>
      <c r="F23" s="50">
        <f t="shared" si="2"/>
        <v>0</v>
      </c>
    </row>
    <row r="24" spans="1:8" ht="12.95" customHeight="1" x14ac:dyDescent="0.2">
      <c r="A24" s="29">
        <f t="shared" si="1"/>
        <v>15</v>
      </c>
      <c r="B24" s="74" t="s">
        <v>136</v>
      </c>
      <c r="C24" s="5">
        <f>INDEX($C$47:$C$113,MATCH(B24,$B$47:$B$113,0))</f>
        <v>57</v>
      </c>
      <c r="D24" s="5">
        <f>INDEX($E$47:$E$113,MATCH(B24,$B$47:$B$113,0))</f>
        <v>1727.2161200254454</v>
      </c>
      <c r="E24" s="28" t="s">
        <v>22</v>
      </c>
      <c r="F24" s="50">
        <f>SUMIF(B46:B112,B24,F46:F112)+SUMIF(B46:B112,B54,K46:K112)</f>
        <v>984.51318841450393</v>
      </c>
    </row>
    <row r="25" spans="1:8" ht="12.95" customHeight="1" x14ac:dyDescent="0.2">
      <c r="A25" s="29">
        <f t="shared" si="1"/>
        <v>16</v>
      </c>
      <c r="B25" s="4" t="s">
        <v>12</v>
      </c>
      <c r="C25" s="5">
        <f>SUMIF($A$47:$A$113, 1,$D$47:$D$113)</f>
        <v>0</v>
      </c>
      <c r="D25" s="5">
        <f>IFERROR(F25/C25,0)</f>
        <v>0</v>
      </c>
      <c r="E25" s="28" t="s">
        <v>23</v>
      </c>
      <c r="F25" s="51">
        <f>SUMIF($A$46:$A$112, 1,$F$46:$F$112) + SUMIF($A$46:$A$112, 1,$K$46:$K$112)</f>
        <v>0</v>
      </c>
    </row>
    <row r="26" spans="1:8" ht="12.95" customHeight="1" x14ac:dyDescent="0.2">
      <c r="A26" s="29">
        <f t="shared" si="1"/>
        <v>17</v>
      </c>
      <c r="B26" s="4" t="s">
        <v>13</v>
      </c>
      <c r="C26" s="5">
        <f>SUMIF($A$47:$A$113, 2,$D$47:$D$113)</f>
        <v>0</v>
      </c>
      <c r="D26" s="5">
        <f t="shared" ref="D26:D35" si="3">IFERROR(F26/C26,0)</f>
        <v>0</v>
      </c>
      <c r="E26" s="28" t="s">
        <v>23</v>
      </c>
      <c r="F26" s="51">
        <f>SUMIF($A$46:$A$112, 2,$F$46:$F$112) + SUMIF($A$46:$A$112, 2,$K$46:$K$112)</f>
        <v>0</v>
      </c>
    </row>
    <row r="27" spans="1:8" ht="12.95" customHeight="1" x14ac:dyDescent="0.2">
      <c r="A27" s="29">
        <f t="shared" si="1"/>
        <v>18</v>
      </c>
      <c r="B27" s="4" t="s">
        <v>14</v>
      </c>
      <c r="C27" s="5">
        <f>SUMIF($A$47:$A$113, 3,$D$47:$D$113)</f>
        <v>0.46539356526087033</v>
      </c>
      <c r="D27" s="5">
        <f t="shared" si="3"/>
        <v>1951.6566327971132</v>
      </c>
      <c r="E27" s="28" t="s">
        <v>23</v>
      </c>
      <c r="F27" s="51">
        <f>SUMIF($A$46:$A$112, 3,$F$46:$F$112) + SUMIF($A$46:$A$112, 3,$K$46:$K$112)</f>
        <v>908.2884385024737</v>
      </c>
    </row>
    <row r="28" spans="1:8" ht="12.95" customHeight="1" x14ac:dyDescent="0.2">
      <c r="A28" s="29">
        <f t="shared" si="1"/>
        <v>19</v>
      </c>
      <c r="B28" s="4" t="s">
        <v>15</v>
      </c>
      <c r="C28" s="5">
        <f>SUMIF($A$47:$A$113, 4,$D$47:$D$113)</f>
        <v>0</v>
      </c>
      <c r="D28" s="5">
        <f t="shared" si="3"/>
        <v>0</v>
      </c>
      <c r="E28" s="28" t="s">
        <v>23</v>
      </c>
      <c r="F28" s="51">
        <f>SUMIF($A$46:$A$112, 4,$F$46:$F$112) + SUMIF($A$46:$A$112, 4,$K$46:$K$112)</f>
        <v>0</v>
      </c>
    </row>
    <row r="29" spans="1:8" ht="12.95" customHeight="1" x14ac:dyDescent="0.2">
      <c r="A29" s="29">
        <f t="shared" si="1"/>
        <v>20</v>
      </c>
      <c r="B29" s="4" t="s">
        <v>16</v>
      </c>
      <c r="C29" s="5">
        <f>SUMIF($A$47:$A$113, 5,$D$47:$D$113)</f>
        <v>0</v>
      </c>
      <c r="D29" s="5">
        <f t="shared" si="3"/>
        <v>0</v>
      </c>
      <c r="E29" s="28" t="s">
        <v>23</v>
      </c>
      <c r="F29" s="51">
        <f>SUMIF($A$46:$A$112, 5,$F$46:$F$112) + SUMIF($A$46:$A$112, 5,$K$46:$K$112)</f>
        <v>0</v>
      </c>
    </row>
    <row r="30" spans="1:8" ht="12.95" customHeight="1" x14ac:dyDescent="0.2">
      <c r="A30" s="29">
        <f t="shared" si="1"/>
        <v>21</v>
      </c>
      <c r="B30" s="4" t="s">
        <v>17</v>
      </c>
      <c r="C30" s="5">
        <f>SUMIF($A$47:$A$113, 6,$D$47:$D$113)</f>
        <v>0</v>
      </c>
      <c r="D30" s="5">
        <f t="shared" si="3"/>
        <v>0</v>
      </c>
      <c r="E30" s="28" t="s">
        <v>23</v>
      </c>
      <c r="F30" s="51">
        <f>SUMIF($A$46:$A$112, 6,$F$46:$F$112) + SUMIF($A$46:$A$112, 6,$K$46:$K$112)</f>
        <v>0</v>
      </c>
    </row>
    <row r="31" spans="1:8" ht="12.95" customHeight="1" x14ac:dyDescent="0.2">
      <c r="A31" s="29">
        <f t="shared" si="1"/>
        <v>22</v>
      </c>
      <c r="B31" s="4" t="s">
        <v>18</v>
      </c>
      <c r="C31" s="5">
        <f>SUMIF($A$47:$A$113, 7,$D$47:$D$113)</f>
        <v>0</v>
      </c>
      <c r="D31" s="5">
        <f t="shared" si="3"/>
        <v>0</v>
      </c>
      <c r="E31" s="28" t="s">
        <v>23</v>
      </c>
      <c r="F31" s="51">
        <f>SUMIF($A$46:$A$112, 7,$F$46:$F$112) + SUMIF($A$46:$A$112, 7,$K$46:$K$112)</f>
        <v>0</v>
      </c>
    </row>
    <row r="32" spans="1:8" ht="12.95" customHeight="1" x14ac:dyDescent="0.2">
      <c r="A32" s="29">
        <f t="shared" si="1"/>
        <v>23</v>
      </c>
      <c r="B32" s="4" t="s">
        <v>19</v>
      </c>
      <c r="C32" s="5">
        <f>SUMIF($A$47:$A$113, 8,$D$47:$D$113)</f>
        <v>0</v>
      </c>
      <c r="D32" s="5">
        <f t="shared" si="3"/>
        <v>0</v>
      </c>
      <c r="E32" s="28" t="s">
        <v>23</v>
      </c>
      <c r="F32" s="51">
        <f>SUMIF($A$46:$A$112, 8,$F$46:$F$112) + SUMIF($A$46:$A$112, 8,$K$46:$K$112)</f>
        <v>0</v>
      </c>
    </row>
    <row r="33" spans="1:14" ht="12.95" customHeight="1" x14ac:dyDescent="0.2">
      <c r="A33" s="29">
        <f t="shared" si="1"/>
        <v>24</v>
      </c>
      <c r="B33" t="s">
        <v>79</v>
      </c>
      <c r="C33" s="5">
        <f>SUMIF($B$47:$B$113, B33,$D$47:$D$113)</f>
        <v>0</v>
      </c>
      <c r="D33" s="5">
        <f t="shared" si="3"/>
        <v>0</v>
      </c>
      <c r="E33" s="28" t="s">
        <v>23</v>
      </c>
      <c r="F33" s="51">
        <f>SUMIF($B$46:$B$112, B33,$F$46:$F$112) + SUMIF($B$46:$B$112, B33,$K$46:$K$112)</f>
        <v>0</v>
      </c>
    </row>
    <row r="34" spans="1:14" ht="12.95" customHeight="1" x14ac:dyDescent="0.2">
      <c r="A34" s="29">
        <f t="shared" si="1"/>
        <v>25</v>
      </c>
      <c r="B34" t="s">
        <v>20</v>
      </c>
      <c r="C34" s="5">
        <f>SUMIF($B$47:$B$113, B34,$D$47:$D$113)</f>
        <v>0.72309082866978203</v>
      </c>
      <c r="D34" s="5">
        <f t="shared" si="3"/>
        <v>493.76912809766964</v>
      </c>
      <c r="E34" s="28" t="s">
        <v>23</v>
      </c>
      <c r="F34" s="51">
        <f t="shared" ref="F34:F35" si="4">SUMIF($B$46:$B$112, B34,$F$46:$F$112) + SUMIF($B$46:$B$112, B34,$K$46:$K$112)</f>
        <v>357.0399280076997</v>
      </c>
    </row>
    <row r="35" spans="1:14" ht="12.95" customHeight="1" x14ac:dyDescent="0.2">
      <c r="A35" s="29">
        <f t="shared" si="1"/>
        <v>26</v>
      </c>
      <c r="B35" t="s">
        <v>80</v>
      </c>
      <c r="C35" s="5">
        <f>SUMIF($B$47:$B$113, B35,$D$47:$D$113)</f>
        <v>0</v>
      </c>
      <c r="D35" s="5">
        <f t="shared" si="3"/>
        <v>0</v>
      </c>
      <c r="E35" s="28" t="s">
        <v>23</v>
      </c>
      <c r="F35" s="51">
        <f t="shared" si="4"/>
        <v>0</v>
      </c>
    </row>
    <row r="36" spans="1:14" x14ac:dyDescent="0.2">
      <c r="F36" s="50"/>
    </row>
    <row r="37" spans="1:14" x14ac:dyDescent="0.2">
      <c r="F37" s="50"/>
    </row>
    <row r="38" spans="1:14" x14ac:dyDescent="0.2">
      <c r="B38" s="4"/>
      <c r="C38" s="5"/>
      <c r="D38" s="17"/>
      <c r="E38" s="7"/>
      <c r="F38" s="52"/>
    </row>
    <row r="39" spans="1:14" x14ac:dyDescent="0.2">
      <c r="A39" s="31"/>
      <c r="B39" s="53" t="s">
        <v>84</v>
      </c>
      <c r="C39" s="46"/>
      <c r="D39" s="54"/>
      <c r="E39" s="55"/>
      <c r="F39" s="169">
        <f>SUM(F10:F35)</f>
        <v>4081.1901172088483</v>
      </c>
    </row>
    <row r="40" spans="1:14" x14ac:dyDescent="0.2">
      <c r="A40" s="31"/>
      <c r="B40" s="34"/>
      <c r="C40" s="31"/>
      <c r="D40" s="35"/>
      <c r="E40" s="36"/>
      <c r="F40" s="16"/>
    </row>
    <row r="41" spans="1:14" x14ac:dyDescent="0.2">
      <c r="F41" s="10"/>
    </row>
    <row r="42" spans="1:14" x14ac:dyDescent="0.2">
      <c r="F42" s="10"/>
      <c r="H42" s="45" t="s">
        <v>148</v>
      </c>
      <c r="I42" s="45"/>
      <c r="J42" s="45"/>
      <c r="K42" s="45"/>
    </row>
    <row r="43" spans="1:14" ht="25.5" x14ac:dyDescent="0.2">
      <c r="A43" s="23" t="s">
        <v>85</v>
      </c>
      <c r="B43" s="41" t="s">
        <v>86</v>
      </c>
      <c r="C43" s="46" t="s">
        <v>81</v>
      </c>
      <c r="D43" s="47" t="s">
        <v>82</v>
      </c>
      <c r="E43" s="24" t="s">
        <v>27</v>
      </c>
      <c r="F43" s="23" t="s">
        <v>26</v>
      </c>
      <c r="H43" s="44" t="s">
        <v>143</v>
      </c>
      <c r="I43" s="47" t="s">
        <v>82</v>
      </c>
      <c r="J43" s="24" t="s">
        <v>27</v>
      </c>
      <c r="K43" s="23" t="s">
        <v>149</v>
      </c>
    </row>
    <row r="44" spans="1:14" x14ac:dyDescent="0.2">
      <c r="E44" s="8"/>
    </row>
    <row r="45" spans="1:14" x14ac:dyDescent="0.2">
      <c r="E45" s="8"/>
    </row>
    <row r="46" spans="1:14" x14ac:dyDescent="0.2">
      <c r="A46" s="158">
        <v>1</v>
      </c>
      <c r="B46" s="107" t="s">
        <v>28</v>
      </c>
      <c r="C46" s="5">
        <f>SUMIFS(Physician_Visit_April,Physician_Visit_Practice,April!B46,Physician_Visit_Hospitalists, "&lt;&gt;"&amp;'Physician Types'!$D$81)+SUMIFS(Physician_Visit_April,Physician_Visit_Practice,April!B46,Physician_Visit_Hospitalists,'Physician Types'!$D$81)*INDEX(Physician_Type_Hospitalists_Visit_Minutes,MATCH(April!B46,Physician_Type_Practice,0))/INDEX(Physician_Type_Visit_Minutes,MATCH(April!B46,Physician_Type_Practice,0)) +SUMIF(Physician_Minutes_Practice,April!B46,Physician_Minutes_April)/INDEX(Physician_Type_Visit_Minutes,MATCH(April!B46,Physician_Type_Practice,0))</f>
        <v>0</v>
      </c>
      <c r="D46" s="43">
        <f t="shared" ref="D46:D77" si="5">C46*INDEX(Physician_Type_Visit_Minutes,MATCH(B46,Physician_Type_Practice,0))/INDEX(Physician_Type_FTE_Minutes,MATCH(B46,Physician_Type_Practice,0))</f>
        <v>0</v>
      </c>
      <c r="E46" s="17">
        <f>INDEX(Physician_Type_Bed_Rate,MATCH(April!B46,Physician_Type_Practice,0))*'Hospital Input Page'!$C$4</f>
        <v>925.08524394583173</v>
      </c>
      <c r="F46" s="9">
        <f>D46*E46</f>
        <v>0</v>
      </c>
      <c r="H46" s="5">
        <f t="array" ref="H46">SUMIFS(Physician_Visit_April, Physician_Visit_Practice, April!B46, Independent_Contractor_Visits,  'Physician Types'!$D$81) + SUMIFS(Physician_Minutes_April,Physician_Minutes_Practice,April!B46, Independent_Contractor_Minutes, 'Physician Types'!$D$81)/INDEX(Physician_Type_Visit_Minutes,MATCH(April!B46,Physician_Type_Practice,0))</f>
        <v>0</v>
      </c>
      <c r="I46" s="43">
        <f t="shared" ref="I46:I77" si="6">H46*INDEX(Physician_Type_Visit_Minutes,MATCH(B46,Physician_Type_Practice,0))/INDEX(Physician_Type_FTE_Minutes,MATCH(B46,Physician_Type_Practice,0))</f>
        <v>0</v>
      </c>
      <c r="J46" s="10">
        <f>E46*'Physician Types'!$E$4</f>
        <v>27.752557318374951</v>
      </c>
      <c r="K46" s="10">
        <f>I46*J46</f>
        <v>0</v>
      </c>
      <c r="L46" s="9"/>
      <c r="M46" s="9"/>
      <c r="N46" s="9"/>
    </row>
    <row r="47" spans="1:14" x14ac:dyDescent="0.2">
      <c r="A47" s="158">
        <v>1</v>
      </c>
      <c r="B47" s="107" t="s">
        <v>29</v>
      </c>
      <c r="C47" s="5">
        <f>SUMIFS(Physician_Visit_April,Physician_Visit_Practice,April!B47,Physician_Visit_Hospitalists, "&lt;&gt;"&amp;'Physician Types'!$D$81)+SUMIFS(Physician_Visit_April,Physician_Visit_Practice,April!B47,Physician_Visit_Hospitalists,'Physician Types'!$D$81)*INDEX(Physician_Type_Hospitalists_Visit_Minutes,MATCH(April!B47,Physician_Type_Practice,0))/INDEX(Physician_Type_Visit_Minutes,MATCH(April!B47,Physician_Type_Practice,0)) +SUMIF(Physician_Minutes_Practice,April!B47,Physician_Minutes_April)/INDEX(Physician_Type_Visit_Minutes,MATCH(April!B47,Physician_Type_Practice,0))</f>
        <v>0</v>
      </c>
      <c r="D47" s="43">
        <f t="shared" si="5"/>
        <v>0</v>
      </c>
      <c r="E47" s="17">
        <f>INDEX(Physician_Type_Bed_Rate,MATCH(April!B47,Physician_Type_Practice,0))*'Hospital Input Page'!$C$4</f>
        <v>993.39322609373073</v>
      </c>
      <c r="F47" s="9">
        <f t="shared" ref="F47:F111" si="7">D47*E47</f>
        <v>0</v>
      </c>
      <c r="H47" s="5">
        <f t="array" ref="H47">SUMIFS(Physician_Visit_April, Physician_Visit_Practice, April!B47, Independent_Contractor_Visits,  'Physician Types'!$D$81) + SUMIFS(Physician_Minutes_April,Physician_Minutes_Practice,April!B47, Independent_Contractor_Minutes, 'Physician Types'!$D$81)/INDEX(Physician_Type_Visit_Minutes,MATCH(April!B47,Physician_Type_Practice,0))</f>
        <v>0</v>
      </c>
      <c r="I47" s="43">
        <f t="shared" si="6"/>
        <v>0</v>
      </c>
      <c r="J47" s="10">
        <f>E47*'Physician Types'!$E$4</f>
        <v>29.80179678281192</v>
      </c>
      <c r="K47" s="10">
        <f t="shared" ref="K47:K111" si="8">I47*J47</f>
        <v>0</v>
      </c>
      <c r="L47" s="9"/>
      <c r="M47" s="9"/>
      <c r="N47" s="9"/>
    </row>
    <row r="48" spans="1:14" x14ac:dyDescent="0.2">
      <c r="A48" s="158">
        <v>4</v>
      </c>
      <c r="B48" s="102" t="s">
        <v>60</v>
      </c>
      <c r="C48" s="5">
        <f>SUMIFS(Physician_Visit_April,Physician_Visit_Practice,April!B48,Physician_Visit_Hospitalists, "&lt;&gt;"&amp;'Physician Types'!$D$81)+SUMIFS(Physician_Visit_April,Physician_Visit_Practice,April!B48,Physician_Visit_Hospitalists,'Physician Types'!$D$81)*INDEX(Physician_Type_Hospitalists_Visit_Minutes,MATCH(April!B48,Physician_Type_Practice,0))/INDEX(Physician_Type_Visit_Minutes,MATCH(April!B48,Physician_Type_Practice,0)) +SUMIF(Physician_Minutes_Practice,April!B48,Physician_Minutes_April)/INDEX(Physician_Type_Visit_Minutes,MATCH(April!B48,Physician_Type_Practice,0))</f>
        <v>0</v>
      </c>
      <c r="D48" s="43">
        <f t="shared" si="5"/>
        <v>0</v>
      </c>
      <c r="E48" s="17">
        <f>INDEX(Physician_Type_Bed_Rate,MATCH(April!B48,Physician_Type_Practice,0))*'Hospital Input Page'!$C$4</f>
        <v>2699.1411231584075</v>
      </c>
      <c r="F48" s="9">
        <f t="shared" si="7"/>
        <v>0</v>
      </c>
      <c r="H48" s="5">
        <f>SUMIFS(Physician_Visit_April,Physician_Visit_Practice,April!B48,Independent_Contractor_Visits, "&lt;&gt;"&amp;'Physician Types'!$D$81)+SUMIFS(Physician_Visit_April,Physician_Visit_Practice,April!B48,Independent_Contractor_Visits,'Physician Types'!$D$81)*INDEX(Physician_Type_Hospitalists_Visit_Minutes,MATCH(April!B48,Physician_Type_Practice,0))/INDEX(Physician_Type_Visit_Minutes,MATCH(April!B48,Physician_Type_Practice,0)) +SUMIF(Physician_Minutes_Practice,April!B48,Physician_Minutes_April)/INDEX(Physician_Type_Visit_Minutes,MATCH(April!B48,Physician_Type_Practice,0))</f>
        <v>0</v>
      </c>
      <c r="I48" s="43">
        <f t="shared" si="6"/>
        <v>0</v>
      </c>
      <c r="J48" s="10">
        <f>E48*'Physician Types'!$E$4</f>
        <v>80.974233694752215</v>
      </c>
      <c r="K48" s="10">
        <f t="shared" si="8"/>
        <v>0</v>
      </c>
      <c r="L48" s="9"/>
      <c r="M48" s="9"/>
      <c r="N48" s="9"/>
    </row>
    <row r="49" spans="1:14" x14ac:dyDescent="0.2">
      <c r="A49" s="158">
        <v>4</v>
      </c>
      <c r="B49" s="102" t="s">
        <v>61</v>
      </c>
      <c r="C49" s="5">
        <f>SUMIFS(Physician_Visit_April,Physician_Visit_Practice,April!B49,Physician_Visit_Hospitalists, "&lt;&gt;"&amp;'Physician Types'!$D$81)+SUMIFS(Physician_Visit_April,Physician_Visit_Practice,April!B49,Physician_Visit_Hospitalists,'Physician Types'!$D$81)*INDEX(Physician_Type_Hospitalists_Visit_Minutes,MATCH(April!B49,Physician_Type_Practice,0))/INDEX(Physician_Type_Visit_Minutes,MATCH(April!B49,Physician_Type_Practice,0)) +SUMIF(Physician_Minutes_Practice,April!B49,Physician_Minutes_April)/INDEX(Physician_Type_Visit_Minutes,MATCH(April!B49,Physician_Type_Practice,0))</f>
        <v>0</v>
      </c>
      <c r="D49" s="43">
        <f t="shared" si="5"/>
        <v>0</v>
      </c>
      <c r="E49" s="17">
        <f>INDEX(Physician_Type_Bed_Rate,MATCH(April!B49,Physician_Type_Practice,0))*'Hospital Input Page'!$C$4</f>
        <v>3071.9075400226566</v>
      </c>
      <c r="F49" s="9">
        <f t="shared" si="7"/>
        <v>0</v>
      </c>
      <c r="H49" s="5">
        <f>SUMIFS(Physician_Visit_April,Physician_Visit_Practice,April!B49,Independent_Contractor_Visits, "&lt;&gt;"&amp;'Physician Types'!$D$81)+SUMIFS(Physician_Visit_April,Physician_Visit_Practice,April!B49,Independent_Contractor_Visits,'Physician Types'!$D$81)*INDEX(Physician_Type_Hospitalists_Visit_Minutes,MATCH(April!B49,Physician_Type_Practice,0))/INDEX(Physician_Type_Visit_Minutes,MATCH(April!B49,Physician_Type_Practice,0)) +SUMIF(Physician_Minutes_Practice,April!B49,Physician_Minutes_April)/INDEX(Physician_Type_Visit_Minutes,MATCH(April!B49,Physician_Type_Practice,0))</f>
        <v>0</v>
      </c>
      <c r="I49" s="43">
        <f t="shared" si="6"/>
        <v>0</v>
      </c>
      <c r="J49" s="10">
        <f>E49*'Physician Types'!$E$4</f>
        <v>92.157226200679688</v>
      </c>
      <c r="K49" s="10">
        <f t="shared" si="8"/>
        <v>0</v>
      </c>
      <c r="L49" s="9"/>
      <c r="M49" s="9"/>
      <c r="N49" s="9"/>
    </row>
    <row r="50" spans="1:14" x14ac:dyDescent="0.2">
      <c r="A50" s="158">
        <v>2</v>
      </c>
      <c r="B50" s="107" t="s">
        <v>34</v>
      </c>
      <c r="C50" s="5">
        <f>SUMIFS(Physician_Visit_April,Physician_Visit_Practice,April!B50,Physician_Visit_Hospitalists, "&lt;&gt;"&amp;'Physician Types'!$D$81)+SUMIFS(Physician_Visit_April,Physician_Visit_Practice,April!B50,Physician_Visit_Hospitalists,'Physician Types'!$D$81)*INDEX(Physician_Type_Hospitalists_Visit_Minutes,MATCH(April!B50,Physician_Type_Practice,0))/INDEX(Physician_Type_Visit_Minutes,MATCH(April!B50,Physician_Type_Practice,0)) +SUMIF(Physician_Minutes_Practice,April!B50,Physician_Minutes_April)/INDEX(Physician_Type_Visit_Minutes,MATCH(April!B50,Physician_Type_Practice,0))</f>
        <v>0</v>
      </c>
      <c r="D50" s="43">
        <f t="shared" si="5"/>
        <v>0</v>
      </c>
      <c r="E50" s="17">
        <f>INDEX(Physician_Type_Bed_Rate,MATCH(April!B50,Physician_Type_Practice,0))*'Hospital Input Page'!$C$4</f>
        <v>1619.8750052216039</v>
      </c>
      <c r="F50" s="9">
        <f t="shared" si="7"/>
        <v>0</v>
      </c>
      <c r="H50" s="5">
        <f>SUMIFS(Physician_Visit_April,Physician_Visit_Practice,April!B50,Independent_Contractor_Visits, "&lt;&gt;"&amp;'Physician Types'!$D$81)+SUMIFS(Physician_Visit_April,Physician_Visit_Practice,April!B50,Independent_Contractor_Visits,'Physician Types'!$D$81)*INDEX(Physician_Type_Hospitalists_Visit_Minutes,MATCH(April!B50,Physician_Type_Practice,0))/INDEX(Physician_Type_Visit_Minutes,MATCH(April!B50,Physician_Type_Practice,0)) +SUMIF(Physician_Minutes_Practice,April!B50,Physician_Minutes_April)/INDEX(Physician_Type_Visit_Minutes,MATCH(April!B50,Physician_Type_Practice,0))</f>
        <v>0</v>
      </c>
      <c r="I50" s="43">
        <f t="shared" si="6"/>
        <v>0</v>
      </c>
      <c r="J50" s="10">
        <f>E50*'Physician Types'!$E$4</f>
        <v>48.596250156648118</v>
      </c>
      <c r="K50" s="10">
        <f t="shared" si="8"/>
        <v>0</v>
      </c>
      <c r="L50" s="9"/>
      <c r="M50" s="9"/>
      <c r="N50" s="9"/>
    </row>
    <row r="51" spans="1:14" x14ac:dyDescent="0.2">
      <c r="A51" s="158">
        <v>7</v>
      </c>
      <c r="B51" s="102" t="s">
        <v>72</v>
      </c>
      <c r="C51" s="5">
        <f>SUMIFS(Physician_Visit_April,Physician_Visit_Practice,April!B51,Physician_Visit_Hospitalists, "&lt;&gt;"&amp;'Physician Types'!$D$81)+SUMIFS(Physician_Visit_April,Physician_Visit_Practice,April!B51,Physician_Visit_Hospitalists,'Physician Types'!$D$81)*INDEX(Physician_Type_Hospitalists_Visit_Minutes,MATCH(April!B51,Physician_Type_Practice,0))/INDEX(Physician_Type_Visit_Minutes,MATCH(April!B51,Physician_Type_Practice,0)) +SUMIF(Physician_Minutes_Practice,April!B51,Physician_Minutes_April)/INDEX(Physician_Type_Visit_Minutes,MATCH(April!B51,Physician_Type_Practice,0))</f>
        <v>0</v>
      </c>
      <c r="D51" s="43">
        <f t="shared" si="5"/>
        <v>0</v>
      </c>
      <c r="E51" s="17">
        <f>INDEX(Physician_Type_Bed_Rate,MATCH(April!B51,Physician_Type_Practice,0))*'Hospital Input Page'!$C$4</f>
        <v>7974.4690016090053</v>
      </c>
      <c r="F51" s="9">
        <f t="shared" si="7"/>
        <v>0</v>
      </c>
      <c r="H51" s="5">
        <f>SUMIFS(Physician_Visit_April,Physician_Visit_Practice,April!B51,Independent_Contractor_Visits, "&lt;&gt;"&amp;'Physician Types'!$D$81)+SUMIFS(Physician_Visit_April,Physician_Visit_Practice,April!B51,Independent_Contractor_Visits,'Physician Types'!$D$81)*INDEX(Physician_Type_Hospitalists_Visit_Minutes,MATCH(April!B51,Physician_Type_Practice,0))/INDEX(Physician_Type_Visit_Minutes,MATCH(April!B51,Physician_Type_Practice,0)) +SUMIF(Physician_Minutes_Practice,April!B51,Physician_Minutes_April)/INDEX(Physician_Type_Visit_Minutes,MATCH(April!B51,Physician_Type_Practice,0))</f>
        <v>0</v>
      </c>
      <c r="I51" s="43">
        <f t="shared" si="6"/>
        <v>0</v>
      </c>
      <c r="J51" s="10">
        <f>E51*'Physician Types'!$E$4</f>
        <v>239.23407004827015</v>
      </c>
      <c r="K51" s="10">
        <f t="shared" si="8"/>
        <v>0</v>
      </c>
      <c r="L51" s="9"/>
      <c r="M51" s="9"/>
      <c r="N51" s="9"/>
    </row>
    <row r="52" spans="1:14" x14ac:dyDescent="0.2">
      <c r="A52" s="158">
        <v>6</v>
      </c>
      <c r="B52" s="102" t="s">
        <v>69</v>
      </c>
      <c r="C52" s="5">
        <f>SUMIFS(Physician_Visit_April,Physician_Visit_Practice,April!B52,Physician_Visit_Hospitalists, "&lt;&gt;"&amp;'Physician Types'!$D$81)+SUMIFS(Physician_Visit_April,Physician_Visit_Practice,April!B52,Physician_Visit_Hospitalists,'Physician Types'!$D$81)*INDEX(Physician_Type_Hospitalists_Visit_Minutes,MATCH(April!B52,Physician_Type_Practice,0))/INDEX(Physician_Type_Visit_Minutes,MATCH(April!B52,Physician_Type_Practice,0)) +SUMIF(Physician_Minutes_Practice,April!B52,Physician_Minutes_April)/INDEX(Physician_Type_Visit_Minutes,MATCH(April!B52,Physician_Type_Practice,0))</f>
        <v>0</v>
      </c>
      <c r="D52" s="43">
        <f t="shared" si="5"/>
        <v>0</v>
      </c>
      <c r="E52" s="17">
        <f>INDEX(Physician_Type_Bed_Rate,MATCH(April!B52,Physician_Type_Practice,0))*'Hospital Input Page'!$C$4</f>
        <v>3534.4501619955722</v>
      </c>
      <c r="F52" s="9">
        <f t="shared" si="7"/>
        <v>0</v>
      </c>
      <c r="H52" s="5">
        <f>SUMIFS(Physician_Visit_April,Physician_Visit_Practice,April!B52,Independent_Contractor_Visits, "&lt;&gt;"&amp;'Physician Types'!$D$81)+SUMIFS(Physician_Visit_April,Physician_Visit_Practice,April!B52,Independent_Contractor_Visits,'Physician Types'!$D$81)*INDEX(Physician_Type_Hospitalists_Visit_Minutes,MATCH(April!B52,Physician_Type_Practice,0))/INDEX(Physician_Type_Visit_Minutes,MATCH(April!B52,Physician_Type_Practice,0)) +SUMIF(Physician_Minutes_Practice,April!B52,Physician_Minutes_April)/INDEX(Physician_Type_Visit_Minutes,MATCH(April!B52,Physician_Type_Practice,0))</f>
        <v>0</v>
      </c>
      <c r="I52" s="43">
        <f t="shared" si="6"/>
        <v>0</v>
      </c>
      <c r="J52" s="10">
        <f>E52*'Physician Types'!$E$4</f>
        <v>106.03350485986716</v>
      </c>
      <c r="K52" s="10">
        <f t="shared" si="8"/>
        <v>0</v>
      </c>
      <c r="L52" s="9"/>
      <c r="M52" s="9"/>
      <c r="N52" s="9"/>
    </row>
    <row r="53" spans="1:14" x14ac:dyDescent="0.2">
      <c r="A53" s="158">
        <v>2</v>
      </c>
      <c r="B53" s="107" t="s">
        <v>35</v>
      </c>
      <c r="C53" s="5">
        <f>SUMIFS(Physician_Visit_April,Physician_Visit_Practice,April!B53,Physician_Visit_Hospitalists, "&lt;&gt;"&amp;'Physician Types'!$D$81)+SUMIFS(Physician_Visit_April,Physician_Visit_Practice,April!B53,Physician_Visit_Hospitalists,'Physician Types'!$D$81)*INDEX(Physician_Type_Hospitalists_Visit_Minutes,MATCH(April!B53,Physician_Type_Practice,0))/INDEX(Physician_Type_Visit_Minutes,MATCH(April!B53,Physician_Type_Practice,0)) +SUMIF(Physician_Minutes_Practice,April!B53,Physician_Minutes_April)/INDEX(Physician_Type_Visit_Minutes,MATCH(April!B53,Physician_Type_Practice,0))</f>
        <v>0</v>
      </c>
      <c r="D53" s="43">
        <f t="shared" si="5"/>
        <v>0</v>
      </c>
      <c r="E53" s="17">
        <f>INDEX(Physician_Type_Bed_Rate,MATCH(April!B53,Physician_Type_Practice,0))*'Hospital Input Page'!$C$4</f>
        <v>993.39322609373073</v>
      </c>
      <c r="F53" s="9">
        <f t="shared" si="7"/>
        <v>0</v>
      </c>
      <c r="H53" s="5">
        <f>SUMIFS(Physician_Visit_April,Physician_Visit_Practice,April!B53,Independent_Contractor_Visits, "&lt;&gt;"&amp;'Physician Types'!$D$81)+SUMIFS(Physician_Visit_April,Physician_Visit_Practice,April!B53,Independent_Contractor_Visits,'Physician Types'!$D$81)*INDEX(Physician_Type_Hospitalists_Visit_Minutes,MATCH(April!B53,Physician_Type_Practice,0))/INDEX(Physician_Type_Visit_Minutes,MATCH(April!B53,Physician_Type_Practice,0)) +SUMIF(Physician_Minutes_Practice,April!B53,Physician_Minutes_April)/INDEX(Physician_Type_Visit_Minutes,MATCH(April!B53,Physician_Type_Practice,0))</f>
        <v>0</v>
      </c>
      <c r="I53" s="43">
        <f t="shared" si="6"/>
        <v>0</v>
      </c>
      <c r="J53" s="10">
        <f>E53*'Physician Types'!$E$4</f>
        <v>29.80179678281192</v>
      </c>
      <c r="K53" s="10">
        <f t="shared" si="8"/>
        <v>0</v>
      </c>
      <c r="L53" s="9"/>
      <c r="M53" s="9"/>
      <c r="N53" s="9"/>
    </row>
    <row r="54" spans="1:14" x14ac:dyDescent="0.2">
      <c r="A54" s="158"/>
      <c r="B54" s="161" t="s">
        <v>136</v>
      </c>
      <c r="C54" s="5">
        <f>SUMIFS(Physician_Visit_April,Physician_Visit_Practice,April!B54,Physician_Visit_Hospitalists, "&lt;&gt;"&amp;'Physician Types'!$D$81)+SUMIFS(Physician_Visit_April,Physician_Visit_Practice,April!B54,Physician_Visit_Hospitalists,'Physician Types'!$D$81)*INDEX(Physician_Type_Hospitalists_Visit_Minutes,MATCH(April!B54,Physician_Type_Practice,0))/INDEX(Physician_Type_Visit_Minutes,MATCH(April!B54,Physician_Type_Practice,0)) +SUMIF(Physician_Minutes_Practice,April!B54,Physician_Minutes_April)/INDEX(Physician_Type_Visit_Minutes,MATCH(April!B54,Physician_Type_Practice,0))</f>
        <v>57</v>
      </c>
      <c r="D54" s="43">
        <f t="shared" si="5"/>
        <v>8.2213119483066976E-2</v>
      </c>
      <c r="E54" s="17">
        <f>INDEX(Physician_Type_Bed_Rate,MATCH(April!B54,Physician_Type_Practice,0))*'Hospital Input Page'!$C$4</f>
        <v>1727.2161200254454</v>
      </c>
      <c r="F54" s="9">
        <f>C54*E54/100</f>
        <v>984.51318841450393</v>
      </c>
      <c r="H54" s="5">
        <f t="array" ref="H54">SUMIFS(Physician_Visit_April, Physician_Visit_Practice, April!B54, Independent_Contractor_Visits, 'Physician Types'!$D$81)</f>
        <v>0</v>
      </c>
      <c r="I54" s="43">
        <f t="shared" si="6"/>
        <v>0</v>
      </c>
      <c r="J54" s="10">
        <f>E54*'Physician Types'!$E$4</f>
        <v>51.816483600763362</v>
      </c>
      <c r="K54" s="10">
        <f t="shared" si="8"/>
        <v>0</v>
      </c>
      <c r="L54" s="9"/>
      <c r="M54" s="9"/>
      <c r="N54" s="9"/>
    </row>
    <row r="55" spans="1:14" x14ac:dyDescent="0.2">
      <c r="A55" s="158">
        <v>2</v>
      </c>
      <c r="B55" s="107" t="s">
        <v>36</v>
      </c>
      <c r="C55" s="5">
        <f>SUMIFS(Physician_Visit_April,Physician_Visit_Practice,April!B55,Physician_Visit_Hospitalists, "&lt;&gt;"&amp;'Physician Types'!$D$81)+SUMIFS(Physician_Visit_April,Physician_Visit_Practice,April!B55,Physician_Visit_Hospitalists,'Physician Types'!$D$81)*INDEX(Physician_Type_Hospitalists_Visit_Minutes,MATCH(April!B55,Physician_Type_Practice,0))/INDEX(Physician_Type_Visit_Minutes,MATCH(April!B55,Physician_Type_Practice,0)) +SUMIF(Physician_Minutes_Practice,April!B55,Physician_Minutes_April)/INDEX(Physician_Type_Visit_Minutes,MATCH(April!B55,Physician_Type_Practice,0))</f>
        <v>0</v>
      </c>
      <c r="D55" s="43">
        <f t="shared" si="5"/>
        <v>0</v>
      </c>
      <c r="E55" s="17">
        <f>INDEX(Physician_Type_Bed_Rate,MATCH(April!B55,Physician_Type_Practice,0))*'Hospital Input Page'!$C$4</f>
        <v>2544.9602491674359</v>
      </c>
      <c r="F55" s="9">
        <f t="shared" si="7"/>
        <v>0</v>
      </c>
      <c r="H55" s="5">
        <f>SUMIFS(Physician_Visit_April,Physician_Visit_Practice,April!B55,Independent_Contractor_Visits, "&lt;&gt;"&amp;'Physician Types'!$D$81)+SUMIFS(Physician_Visit_April,Physician_Visit_Practice,April!B55,Independent_Contractor_Visits,'Physician Types'!$D$81)*INDEX(Physician_Type_Hospitalists_Visit_Minutes,MATCH(April!B55,Physician_Type_Practice,0))/INDEX(Physician_Type_Visit_Minutes,MATCH(April!B55,Physician_Type_Practice,0)) +SUMIF(Physician_Minutes_Practice,April!B55,Physician_Minutes_April)/INDEX(Physician_Type_Visit_Minutes,MATCH(April!B55,Physician_Type_Practice,0))</f>
        <v>0</v>
      </c>
      <c r="I55" s="43">
        <f t="shared" si="6"/>
        <v>0</v>
      </c>
      <c r="J55" s="10">
        <f>E55*'Physician Types'!$E$4</f>
        <v>76.348807475023079</v>
      </c>
      <c r="K55" s="10">
        <f t="shared" si="8"/>
        <v>0</v>
      </c>
      <c r="L55" s="9"/>
      <c r="M55" s="9"/>
      <c r="N55" s="9"/>
    </row>
    <row r="56" spans="1:14" x14ac:dyDescent="0.2">
      <c r="A56" s="158">
        <v>2</v>
      </c>
      <c r="B56" s="107" t="s">
        <v>37</v>
      </c>
      <c r="C56" s="5">
        <f>SUMIFS(Physician_Visit_April,Physician_Visit_Practice,April!B56,Physician_Visit_Hospitalists, "&lt;&gt;"&amp;'Physician Types'!$D$81)+SUMIFS(Physician_Visit_April,Physician_Visit_Practice,April!B56,Physician_Visit_Hospitalists,'Physician Types'!$D$81)*INDEX(Physician_Type_Hospitalists_Visit_Minutes,MATCH(April!B56,Physician_Type_Practice,0))/INDEX(Physician_Type_Visit_Minutes,MATCH(April!B56,Physician_Type_Practice,0)) +SUMIF(Physician_Minutes_Practice,April!B56,Physician_Minutes_April)/INDEX(Physician_Type_Visit_Minutes,MATCH(April!B56,Physician_Type_Practice,0))</f>
        <v>0</v>
      </c>
      <c r="D56" s="43">
        <f t="shared" si="5"/>
        <v>0</v>
      </c>
      <c r="E56" s="17">
        <f>INDEX(Physician_Type_Bed_Rate,MATCH(April!B56,Physician_Type_Practice,0))*'Hospital Input Page'!$C$4</f>
        <v>1567.1802761360821</v>
      </c>
      <c r="F56" s="9">
        <f t="shared" si="7"/>
        <v>0</v>
      </c>
      <c r="H56" s="5">
        <f t="array" ref="H56">SUMIFS(Physician_Visit_April, Physician_Visit_Practice, April!B56, Independent_Contractor_Visits,  'Physician Types'!$D$81) + SUMIFS(Physician_Minutes_April,Physician_Minutes_Practice,April!B56, Independent_Contractor_Minutes, 'Physician Types'!$D$81)/INDEX(Physician_Type_Visit_Minutes,MATCH(April!B56,Physician_Type_Practice,0))</f>
        <v>0</v>
      </c>
      <c r="I56" s="43">
        <f t="shared" si="6"/>
        <v>0</v>
      </c>
      <c r="J56" s="10">
        <f>E56*'Physician Types'!$E$4</f>
        <v>47.015408284082461</v>
      </c>
      <c r="K56" s="10">
        <f t="shared" si="8"/>
        <v>0</v>
      </c>
      <c r="L56" s="9"/>
      <c r="M56" s="9"/>
      <c r="N56" s="9"/>
    </row>
    <row r="57" spans="1:14" x14ac:dyDescent="0.2">
      <c r="A57" s="158">
        <v>2</v>
      </c>
      <c r="B57" s="107" t="s">
        <v>38</v>
      </c>
      <c r="C57" s="5">
        <f>SUMIFS(Physician_Visit_April,Physician_Visit_Practice,April!B57,Physician_Visit_Hospitalists, "&lt;&gt;"&amp;'Physician Types'!$D$81)+SUMIFS(Physician_Visit_April,Physician_Visit_Practice,April!B57,Physician_Visit_Hospitalists,'Physician Types'!$D$81)*INDEX(Physician_Type_Hospitalists_Visit_Minutes,MATCH(April!B57,Physician_Type_Practice,0))/INDEX(Physician_Type_Visit_Minutes,MATCH(April!B57,Physician_Type_Practice,0)) +SUMIF(Physician_Minutes_Practice,April!B57,Physician_Minutes_April)/INDEX(Physician_Type_Visit_Minutes,MATCH(April!B57,Physician_Type_Practice,0))</f>
        <v>0</v>
      </c>
      <c r="D57" s="43">
        <f t="shared" si="5"/>
        <v>0</v>
      </c>
      <c r="E57" s="17">
        <f>INDEX(Physician_Type_Bed_Rate,MATCH(April!B57,Physician_Type_Practice,0))*'Hospital Input Page'!$C$4</f>
        <v>4399.0340503246935</v>
      </c>
      <c r="F57" s="9">
        <f t="shared" si="7"/>
        <v>0</v>
      </c>
      <c r="H57" s="5">
        <f t="array" ref="H57">SUMIFS(Physician_Visit_April, Physician_Visit_Practice, April!B57, Independent_Contractor_Visits,  'Physician Types'!$D$81) + SUMIFS(Physician_Minutes_April,Physician_Minutes_Practice,April!B57, Independent_Contractor_Minutes, 'Physician Types'!$D$81)/INDEX(Physician_Type_Visit_Minutes,MATCH(April!B57,Physician_Type_Practice,0))</f>
        <v>0</v>
      </c>
      <c r="I57" s="43">
        <f t="shared" si="6"/>
        <v>0</v>
      </c>
      <c r="J57" s="10">
        <f>E57*'Physician Types'!$E$4</f>
        <v>131.97102150974081</v>
      </c>
      <c r="K57" s="10">
        <f t="shared" si="8"/>
        <v>0</v>
      </c>
      <c r="L57" s="9"/>
      <c r="M57" s="9"/>
      <c r="N57" s="9"/>
    </row>
    <row r="58" spans="1:14" x14ac:dyDescent="0.2">
      <c r="A58" s="158">
        <v>3</v>
      </c>
      <c r="B58" s="161" t="s">
        <v>155</v>
      </c>
      <c r="C58" s="5">
        <f>SUMIFS(Physician_Visit_April,Physician_Visit_Practice,April!B58,Physician_Visit_Hospitalists, "&lt;&gt;"&amp;'Physician Types'!$D$81)+SUMIFS(Physician_Visit_April,Physician_Visit_Practice,April!B58,Physician_Visit_Hospitalists,'Physician Types'!$D$81)*INDEX(Physician_Type_Hospitalists_Visit_Minutes,MATCH(April!B58,Physician_Type_Practice,0))/INDEX(Physician_Type_Visit_Minutes,MATCH(April!B58,Physician_Type_Practice,0)) +SUMIF(Physician_Minutes_Practice,April!B58,Physician_Minutes_April)/INDEX(Physician_Type_Visit_Minutes,MATCH(April!B58,Physician_Type_Practice,0))</f>
        <v>242</v>
      </c>
      <c r="D58" s="43">
        <f t="shared" si="5"/>
        <v>0.46539356526087033</v>
      </c>
      <c r="E58" s="17">
        <f>INDEX(Physician_Type_Bed_Rate,MATCH(April!B58,Physician_Type_Practice,0))*'Hospital Input Page'!$C$4</f>
        <v>1951.6566327971132</v>
      </c>
      <c r="F58" s="9">
        <f t="shared" si="7"/>
        <v>908.2884385024737</v>
      </c>
      <c r="H58" s="5">
        <f t="array" ref="H58">SUMIFS(Physician_Visit_April, Physician_Visit_Practice, April!B58, Independent_Contractor_Visits,  'Physician Types'!$D$81) + SUMIFS(Physician_Minutes_April,Physician_Minutes_Practice,April!B58, Independent_Contractor_Minutes, 'Physician Types'!$D$81)/INDEX(Physician_Type_Visit_Minutes,MATCH(April!B58,Physician_Type_Practice,0))</f>
        <v>0</v>
      </c>
      <c r="I58" s="43">
        <f t="shared" si="6"/>
        <v>0</v>
      </c>
      <c r="J58" s="10">
        <f>E58*'Physician Types'!$E$4</f>
        <v>58.549698983913395</v>
      </c>
      <c r="K58" s="10">
        <f t="shared" si="8"/>
        <v>0</v>
      </c>
      <c r="L58" s="9"/>
      <c r="M58" s="9"/>
      <c r="N58" s="9"/>
    </row>
    <row r="59" spans="1:14" x14ac:dyDescent="0.2">
      <c r="A59" s="158">
        <v>5</v>
      </c>
      <c r="B59" s="161" t="s">
        <v>137</v>
      </c>
      <c r="C59" s="5">
        <f>SUMIFS(Physician_Visit_April,Physician_Visit_Practice,April!B59,Physician_Visit_Hospitalists, "&lt;&gt;"&amp;'Physician Types'!$D$81)+SUMIFS(Physician_Visit_April,Physician_Visit_Practice,April!B59,Physician_Visit_Hospitalists,'Physician Types'!$D$81)*INDEX(Physician_Type_Hospitalists_Visit_Minutes,MATCH(April!B59,Physician_Type_Practice,0))/INDEX(Physician_Type_Visit_Minutes,MATCH(April!B59,Physician_Type_Practice,0)) +SUMIF(Physician_Minutes_Practice,April!B59,Physician_Minutes_April)/INDEX(Physician_Type_Visit_Minutes,MATCH(April!B59,Physician_Type_Practice,0))</f>
        <v>0</v>
      </c>
      <c r="D59" s="43">
        <f t="shared" si="5"/>
        <v>0</v>
      </c>
      <c r="E59" s="17">
        <f>INDEX(Physician_Type_Bed_Rate,MATCH(April!B59,Physician_Type_Practice,0))*'Hospital Input Page'!$C$4</f>
        <v>4933.7879677111023</v>
      </c>
      <c r="F59" s="9">
        <f t="shared" si="7"/>
        <v>0</v>
      </c>
      <c r="H59" s="5">
        <f t="array" ref="H59">SUMIFS(Physician_Visit_April, Physician_Visit_Practice, April!B59, Independent_Contractor_Visits,  'Physician Types'!$D$81) + SUMIFS(Physician_Minutes_April,Physician_Minutes_Practice,April!B59, Independent_Contractor_Minutes, 'Physician Types'!$D$81)/INDEX(Physician_Type_Visit_Minutes,MATCH(April!B59,Physician_Type_Practice,0))</f>
        <v>0</v>
      </c>
      <c r="I59" s="43">
        <f t="shared" si="6"/>
        <v>0</v>
      </c>
      <c r="J59" s="10">
        <f>E59*'Physician Types'!$E$4</f>
        <v>148.01363903133307</v>
      </c>
      <c r="K59" s="10">
        <f t="shared" si="8"/>
        <v>0</v>
      </c>
      <c r="L59" s="9"/>
      <c r="M59" s="9"/>
      <c r="N59" s="9"/>
    </row>
    <row r="60" spans="1:14" x14ac:dyDescent="0.2">
      <c r="A60" s="158">
        <v>6</v>
      </c>
      <c r="B60" s="102" t="s">
        <v>70</v>
      </c>
      <c r="C60" s="5">
        <f>SUMIFS(Physician_Visit_April,Physician_Visit_Practice,April!B60,Physician_Visit_Hospitalists, "&lt;&gt;"&amp;'Physician Types'!$D$81)+SUMIFS(Physician_Visit_April,Physician_Visit_Practice,April!B60,Physician_Visit_Hospitalists,'Physician Types'!$D$81)*INDEX(Physician_Type_Hospitalists_Visit_Minutes,MATCH(April!B60,Physician_Type_Practice,0))/INDEX(Physician_Type_Visit_Minutes,MATCH(April!B60,Physician_Type_Practice,0)) +SUMIF(Physician_Minutes_Practice,April!B60,Physician_Minutes_April)/INDEX(Physician_Type_Visit_Minutes,MATCH(April!B60,Physician_Type_Practice,0))</f>
        <v>0</v>
      </c>
      <c r="D60" s="43">
        <f t="shared" si="5"/>
        <v>0</v>
      </c>
      <c r="E60" s="17">
        <f>INDEX(Physician_Type_Bed_Rate,MATCH(April!B60,Physician_Type_Practice,0))*'Hospital Input Page'!$C$4</f>
        <v>5179.6967034435384</v>
      </c>
      <c r="F60" s="9">
        <f t="shared" si="7"/>
        <v>0</v>
      </c>
      <c r="H60" s="5">
        <f t="array" ref="H60">SUMIFS(Physician_Visit_April, Physician_Visit_Practice, April!B60, Independent_Contractor_Visits,  'Physician Types'!$D$81) + SUMIFS(Physician_Minutes_April,Physician_Minutes_Practice,April!B60, Independent_Contractor_Minutes, 'Physician Types'!$D$81)/INDEX(Physician_Type_Visit_Minutes,MATCH(April!B60,Physician_Type_Practice,0))</f>
        <v>0</v>
      </c>
      <c r="I60" s="43">
        <f t="shared" si="6"/>
        <v>0</v>
      </c>
      <c r="J60" s="10">
        <f>E60*'Physician Types'!$E$4</f>
        <v>155.39090110330613</v>
      </c>
      <c r="K60" s="10">
        <f t="shared" si="8"/>
        <v>0</v>
      </c>
      <c r="L60" s="9"/>
      <c r="M60" s="9"/>
      <c r="N60" s="9"/>
    </row>
    <row r="61" spans="1:14" x14ac:dyDescent="0.2">
      <c r="A61" s="158">
        <v>2</v>
      </c>
      <c r="B61" s="107" t="s">
        <v>39</v>
      </c>
      <c r="C61" s="5">
        <f>SUMIFS(Physician_Visit_April,Physician_Visit_Practice,April!B61,Physician_Visit_Hospitalists, "&lt;&gt;"&amp;'Physician Types'!$D$81)+SUMIFS(Physician_Visit_April,Physician_Visit_Practice,April!B61,Physician_Visit_Hospitalists,'Physician Types'!$D$81)*INDEX(Physician_Type_Hospitalists_Visit_Minutes,MATCH(April!B61,Physician_Type_Practice,0))/INDEX(Physician_Type_Visit_Minutes,MATCH(April!B61,Physician_Type_Practice,0)) +SUMIF(Physician_Minutes_Practice,April!B61,Physician_Minutes_April)/INDEX(Physician_Type_Visit_Minutes,MATCH(April!B61,Physician_Type_Practice,0))</f>
        <v>0</v>
      </c>
      <c r="D61" s="43">
        <f t="shared" si="5"/>
        <v>0</v>
      </c>
      <c r="E61" s="17">
        <f>INDEX(Physician_Type_Bed_Rate,MATCH(April!B61,Physician_Type_Practice,0))*'Hospital Input Page'!$C$4</f>
        <v>2539.1052792690443</v>
      </c>
      <c r="F61" s="9">
        <f t="shared" si="7"/>
        <v>0</v>
      </c>
      <c r="H61" s="5">
        <f t="array" ref="H61">SUMIFS(Physician_Visit_April, Physician_Visit_Practice, April!B61, Independent_Contractor_Visits,  'Physician Types'!$D$81) + SUMIFS(Physician_Minutes_April,Physician_Minutes_Practice,April!B61, Independent_Contractor_Minutes, 'Physician Types'!$D$81)/INDEX(Physician_Type_Visit_Minutes,MATCH(April!B61,Physician_Type_Practice,0))</f>
        <v>0</v>
      </c>
      <c r="I61" s="43">
        <f t="shared" si="6"/>
        <v>0</v>
      </c>
      <c r="J61" s="10">
        <f>E61*'Physician Types'!$E$4</f>
        <v>76.173158378071321</v>
      </c>
      <c r="K61" s="10">
        <f t="shared" si="8"/>
        <v>0</v>
      </c>
      <c r="L61" s="9"/>
      <c r="M61" s="9"/>
      <c r="N61" s="9"/>
    </row>
    <row r="62" spans="1:14" x14ac:dyDescent="0.2">
      <c r="A62" s="158">
        <v>2</v>
      </c>
      <c r="B62" s="107" t="s">
        <v>40</v>
      </c>
      <c r="C62" s="5">
        <f>SUMIFS(Physician_Visit_April,Physician_Visit_Practice,April!B62,Physician_Visit_Hospitalists, "&lt;&gt;"&amp;'Physician Types'!$D$81)+SUMIFS(Physician_Visit_April,Physician_Visit_Practice,April!B62,Physician_Visit_Hospitalists,'Physician Types'!$D$81)*INDEX(Physician_Type_Hospitalists_Visit_Minutes,MATCH(April!B62,Physician_Type_Practice,0))/INDEX(Physician_Type_Visit_Minutes,MATCH(April!B62,Physician_Type_Practice,0)) +SUMIF(Physician_Minutes_Practice,April!B62,Physician_Minutes_April)/INDEX(Physician_Type_Visit_Minutes,MATCH(April!B62,Physician_Type_Practice,0))</f>
        <v>0</v>
      </c>
      <c r="D62" s="43">
        <f t="shared" si="5"/>
        <v>0</v>
      </c>
      <c r="E62" s="17">
        <f>INDEX(Physician_Type_Bed_Rate,MATCH(April!B62,Physician_Type_Practice,0))*'Hospital Input Page'!$C$4</f>
        <v>1619.8750052216039</v>
      </c>
      <c r="F62" s="9">
        <f t="shared" si="7"/>
        <v>0</v>
      </c>
      <c r="H62" s="5">
        <f t="array" ref="H62">SUMIFS(Physician_Visit_April, Physician_Visit_Practice, April!B62, Independent_Contractor_Visits,  'Physician Types'!$D$81) + SUMIFS(Physician_Minutes_April,Physician_Minutes_Practice,April!B62, Independent_Contractor_Minutes, 'Physician Types'!$D$81)/INDEX(Physician_Type_Visit_Minutes,MATCH(April!B62,Physician_Type_Practice,0))</f>
        <v>0</v>
      </c>
      <c r="I62" s="43">
        <f t="shared" si="6"/>
        <v>0</v>
      </c>
      <c r="J62" s="10">
        <f>E62*'Physician Types'!$E$4</f>
        <v>48.596250156648118</v>
      </c>
      <c r="K62" s="10">
        <f t="shared" si="8"/>
        <v>0</v>
      </c>
      <c r="L62" s="9"/>
      <c r="M62" s="9"/>
      <c r="N62" s="9"/>
    </row>
    <row r="63" spans="1:14" x14ac:dyDescent="0.2">
      <c r="A63" s="158">
        <v>2</v>
      </c>
      <c r="B63" s="107" t="s">
        <v>41</v>
      </c>
      <c r="C63" s="5">
        <f>SUMIFS(Physician_Visit_April,Physician_Visit_Practice,April!B63,Physician_Visit_Hospitalists, "&lt;&gt;"&amp;'Physician Types'!$D$81)+SUMIFS(Physician_Visit_April,Physician_Visit_Practice,April!B63,Physician_Visit_Hospitalists,'Physician Types'!$D$81)*INDEX(Physician_Type_Hospitalists_Visit_Minutes,MATCH(April!B63,Physician_Type_Practice,0))/INDEX(Physician_Type_Visit_Minutes,MATCH(April!B63,Physician_Type_Practice,0)) +SUMIF(Physician_Minutes_Practice,April!B63,Physician_Minutes_April)/INDEX(Physician_Type_Visit_Minutes,MATCH(April!B63,Physician_Type_Practice,0))</f>
        <v>0</v>
      </c>
      <c r="D63" s="43">
        <f t="shared" si="5"/>
        <v>0</v>
      </c>
      <c r="E63" s="17">
        <f>INDEX(Physician_Type_Bed_Rate,MATCH(April!B63,Physician_Type_Practice,0))*'Hospital Input Page'!$C$4</f>
        <v>4844.0117626024357</v>
      </c>
      <c r="F63" s="9">
        <f t="shared" si="7"/>
        <v>0</v>
      </c>
      <c r="H63" s="5">
        <f t="array" ref="H63">SUMIFS(Physician_Visit_April, Physician_Visit_Practice, April!B63, Independent_Contractor_Visits,  'Physician Types'!$D$81) + SUMIFS(Physician_Minutes_April,Physician_Minutes_Practice,April!B63, Independent_Contractor_Minutes, 'Physician Types'!$D$81)/INDEX(Physician_Type_Visit_Minutes,MATCH(April!B63,Physician_Type_Practice,0))</f>
        <v>0</v>
      </c>
      <c r="I63" s="43">
        <f t="shared" si="6"/>
        <v>0</v>
      </c>
      <c r="J63" s="10">
        <f>E63*'Physician Types'!$E$4</f>
        <v>145.32035287807307</v>
      </c>
      <c r="K63" s="10">
        <f t="shared" si="8"/>
        <v>0</v>
      </c>
      <c r="L63" s="9"/>
      <c r="M63" s="9"/>
      <c r="N63" s="9"/>
    </row>
    <row r="64" spans="1:14" x14ac:dyDescent="0.2">
      <c r="A64" s="158">
        <v>6</v>
      </c>
      <c r="B64" s="128" t="s">
        <v>138</v>
      </c>
      <c r="C64" s="5">
        <f>SUMIFS(Physician_Visit_April,Physician_Visit_Practice,April!B64,Physician_Visit_Hospitalists, "&lt;&gt;"&amp;'Physician Types'!$D$81)+SUMIFS(Physician_Visit_April,Physician_Visit_Practice,April!B64,Physician_Visit_Hospitalists,'Physician Types'!$D$81)*INDEX(Physician_Type_Hospitalists_Visit_Minutes,MATCH(April!B64,Physician_Type_Practice,0))/INDEX(Physician_Type_Visit_Minutes,MATCH(April!B64,Physician_Type_Practice,0)) +SUMIF(Physician_Minutes_Practice,April!B64,Physician_Minutes_April)/INDEX(Physician_Type_Visit_Minutes,MATCH(April!B64,Physician_Type_Practice,0))</f>
        <v>0</v>
      </c>
      <c r="D64" s="43">
        <f t="shared" si="5"/>
        <v>0</v>
      </c>
      <c r="E64" s="17">
        <f>INDEX(Physician_Type_Bed_Rate,MATCH(April!B64,Physician_Type_Practice,0))*'Hospital Input Page'!$C$4</f>
        <v>5782.7586029778467</v>
      </c>
      <c r="F64" s="9">
        <f t="shared" si="7"/>
        <v>0</v>
      </c>
      <c r="H64" s="5">
        <f t="array" ref="H64">SUMIFS(Physician_Visit_April, Physician_Visit_Practice, April!B64, Independent_Contractor_Visits,  'Physician Types'!$D$81) + SUMIFS(Physician_Minutes_April,Physician_Minutes_Practice,April!B64, Independent_Contractor_Minutes, 'Physician Types'!$D$81)/INDEX(Physician_Type_Visit_Minutes,MATCH(April!B64,Physician_Type_Practice,0))</f>
        <v>0</v>
      </c>
      <c r="I64" s="43">
        <f t="shared" si="6"/>
        <v>0</v>
      </c>
      <c r="J64" s="10">
        <f>E64*'Physician Types'!$E$4</f>
        <v>173.48275808933539</v>
      </c>
      <c r="K64" s="10">
        <f t="shared" si="8"/>
        <v>0</v>
      </c>
      <c r="L64" s="9"/>
      <c r="M64" s="9"/>
      <c r="N64" s="9"/>
    </row>
    <row r="65" spans="1:14" x14ac:dyDescent="0.2">
      <c r="A65" s="158">
        <v>2</v>
      </c>
      <c r="B65" s="107" t="s">
        <v>42</v>
      </c>
      <c r="C65" s="5">
        <f>SUMIFS(Physician_Visit_April,Physician_Visit_Practice,April!B65,Physician_Visit_Hospitalists, "&lt;&gt;"&amp;'Physician Types'!$D$81)+SUMIFS(Physician_Visit_April,Physician_Visit_Practice,April!B65,Physician_Visit_Hospitalists,'Physician Types'!$D$81)*INDEX(Physician_Type_Hospitalists_Visit_Minutes,MATCH(April!B65,Physician_Type_Practice,0))/INDEX(Physician_Type_Visit_Minutes,MATCH(April!B65,Physician_Type_Practice,0)) +SUMIF(Physician_Minutes_Practice,April!B65,Physician_Minutes_April)/INDEX(Physician_Type_Visit_Minutes,MATCH(April!B65,Physician_Type_Practice,0))</f>
        <v>0</v>
      </c>
      <c r="D65" s="43">
        <f t="shared" si="5"/>
        <v>0</v>
      </c>
      <c r="E65" s="17">
        <f>INDEX(Physician_Type_Bed_Rate,MATCH(April!B65,Physician_Type_Practice,0))*'Hospital Input Page'!$C$4</f>
        <v>1487.1623541914003</v>
      </c>
      <c r="F65" s="9">
        <f t="shared" si="7"/>
        <v>0</v>
      </c>
      <c r="H65" s="5">
        <f t="array" ref="H65">SUMIFS(Physician_Visit_April, Physician_Visit_Practice, April!B65, Independent_Contractor_Visits,  'Physician Types'!$D$81) + SUMIFS(Physician_Minutes_April,Physician_Minutes_Practice,April!B65, Independent_Contractor_Minutes, 'Physician Types'!$D$81)/INDEX(Physician_Type_Visit_Minutes,MATCH(April!B65,Physician_Type_Practice,0))</f>
        <v>0</v>
      </c>
      <c r="I65" s="43">
        <f t="shared" si="6"/>
        <v>0</v>
      </c>
      <c r="J65" s="10">
        <f>E65*'Physician Types'!$E$4</f>
        <v>44.614870625742007</v>
      </c>
      <c r="K65" s="10">
        <f t="shared" si="8"/>
        <v>0</v>
      </c>
      <c r="L65" s="9"/>
      <c r="M65" s="9"/>
      <c r="N65" s="9"/>
    </row>
    <row r="66" spans="1:14" x14ac:dyDescent="0.2">
      <c r="A66" s="158">
        <v>5</v>
      </c>
      <c r="B66" s="102" t="s">
        <v>64</v>
      </c>
      <c r="C66" s="5">
        <f>SUMIFS(Physician_Visit_April,Physician_Visit_Practice,April!B66,Physician_Visit_Hospitalists, "&lt;&gt;"&amp;'Physician Types'!$D$81)+SUMIFS(Physician_Visit_April,Physician_Visit_Practice,April!B66,Physician_Visit_Hospitalists,'Physician Types'!$D$81)*INDEX(Physician_Type_Hospitalists_Visit_Minutes,MATCH(April!B66,Physician_Type_Practice,0))/INDEX(Physician_Type_Visit_Minutes,MATCH(April!B66,Physician_Type_Practice,0)) +SUMIF(Physician_Minutes_Practice,April!B66,Physician_Minutes_April)/INDEX(Physician_Type_Visit_Minutes,MATCH(April!B66,Physician_Type_Practice,0))</f>
        <v>0</v>
      </c>
      <c r="D66" s="43">
        <f t="shared" si="5"/>
        <v>0</v>
      </c>
      <c r="E66" s="17">
        <f>INDEX(Physician_Type_Bed_Rate,MATCH(April!B66,Physician_Type_Practice,0))*'Hospital Input Page'!$C$4</f>
        <v>2406.3926282388406</v>
      </c>
      <c r="F66" s="9">
        <f t="shared" si="7"/>
        <v>0</v>
      </c>
      <c r="H66" s="5">
        <f t="array" ref="H66">SUMIFS(Physician_Visit_April, Physician_Visit_Practice, April!B66, Independent_Contractor_Visits,  'Physician Types'!$D$81) + SUMIFS(Physician_Minutes_April,Physician_Minutes_Practice,April!B66, Independent_Contractor_Minutes, 'Physician Types'!$D$81)/INDEX(Physician_Type_Visit_Minutes,MATCH(April!B66,Physician_Type_Practice,0))</f>
        <v>0</v>
      </c>
      <c r="I66" s="43">
        <f t="shared" si="6"/>
        <v>0</v>
      </c>
      <c r="J66" s="10">
        <f>E66*'Physician Types'!$E$4</f>
        <v>72.19177884716521</v>
      </c>
      <c r="K66" s="10">
        <f t="shared" si="8"/>
        <v>0</v>
      </c>
      <c r="L66" s="9"/>
      <c r="M66" s="9"/>
      <c r="N66" s="9"/>
    </row>
    <row r="67" spans="1:14" x14ac:dyDescent="0.2">
      <c r="A67" s="158">
        <v>5</v>
      </c>
      <c r="B67" s="102" t="s">
        <v>65</v>
      </c>
      <c r="C67" s="5">
        <f>SUMIFS(Physician_Visit_April,Physician_Visit_Practice,April!B67,Physician_Visit_Hospitalists, "&lt;&gt;"&amp;'Physician Types'!$D$81)+SUMIFS(Physician_Visit_April,Physician_Visit_Practice,April!B67,Physician_Visit_Hospitalists,'Physician Types'!$D$81)*INDEX(Physician_Type_Hospitalists_Visit_Minutes,MATCH(April!B67,Physician_Type_Practice,0))/INDEX(Physician_Type_Visit_Minutes,MATCH(April!B67,Physician_Type_Practice,0)) +SUMIF(Physician_Minutes_Practice,April!B67,Physician_Minutes_April)/INDEX(Physician_Type_Visit_Minutes,MATCH(April!B67,Physician_Type_Practice,0))</f>
        <v>0</v>
      </c>
      <c r="D67" s="43">
        <f t="shared" si="5"/>
        <v>0</v>
      </c>
      <c r="E67" s="17">
        <f>INDEX(Physician_Type_Bed_Rate,MATCH(April!B67,Physician_Type_Practice,0))*'Hospital Input Page'!$C$4</f>
        <v>1487.1623541914003</v>
      </c>
      <c r="F67" s="9">
        <f t="shared" si="7"/>
        <v>0</v>
      </c>
      <c r="H67" s="5">
        <f t="array" ref="H67">SUMIFS(Physician_Visit_April, Physician_Visit_Practice, April!B67, Independent_Contractor_Visits,  'Physician Types'!$D$81) + SUMIFS(Physician_Minutes_April,Physician_Minutes_Practice,April!B67, Independent_Contractor_Minutes, 'Physician Types'!$D$81)/INDEX(Physician_Type_Visit_Minutes,MATCH(April!B67,Physician_Type_Practice,0))</f>
        <v>0</v>
      </c>
      <c r="I67" s="43">
        <f t="shared" si="6"/>
        <v>0</v>
      </c>
      <c r="J67" s="10">
        <f>E67*'Physician Types'!$E$4</f>
        <v>44.614870625742007</v>
      </c>
      <c r="K67" s="10">
        <f t="shared" si="8"/>
        <v>0</v>
      </c>
      <c r="L67" s="9"/>
      <c r="M67" s="9"/>
      <c r="N67" s="9"/>
    </row>
    <row r="68" spans="1:14" x14ac:dyDescent="0.2">
      <c r="A68" s="158">
        <v>5</v>
      </c>
      <c r="B68" s="102" t="s">
        <v>66</v>
      </c>
      <c r="C68" s="5">
        <f>SUMIFS(Physician_Visit_April,Physician_Visit_Practice,April!B68,Physician_Visit_Hospitalists, "&lt;&gt;"&amp;'Physician Types'!$D$81)+SUMIFS(Physician_Visit_April,Physician_Visit_Practice,April!B68,Physician_Visit_Hospitalists,'Physician Types'!$D$81)*INDEX(Physician_Type_Hospitalists_Visit_Minutes,MATCH(April!B68,Physician_Type_Practice,0))/INDEX(Physician_Type_Visit_Minutes,MATCH(April!B68,Physician_Type_Practice,0)) +SUMIF(Physician_Minutes_Practice,April!B68,Physician_Minutes_April)/INDEX(Physician_Type_Visit_Minutes,MATCH(April!B68,Physician_Type_Practice,0))</f>
        <v>0</v>
      </c>
      <c r="D68" s="43">
        <f t="shared" si="5"/>
        <v>0</v>
      </c>
      <c r="E68" s="17">
        <f>INDEX(Physician_Type_Bed_Rate,MATCH(April!B68,Physician_Type_Practice,0))*'Hospital Input Page'!$C$4</f>
        <v>4644.9427860571295</v>
      </c>
      <c r="F68" s="9">
        <f t="shared" si="7"/>
        <v>0</v>
      </c>
      <c r="H68" s="5">
        <f t="array" ref="H68">SUMIFS(Physician_Visit_April, Physician_Visit_Practice, April!B68, Independent_Contractor_Visits,  'Physician Types'!$D$81) + SUMIFS(Physician_Minutes_April,Physician_Minutes_Practice,April!B68, Independent_Contractor_Minutes, 'Physician Types'!$D$81)/INDEX(Physician_Type_Visit_Minutes,MATCH(April!B68,Physician_Type_Practice,0))</f>
        <v>0</v>
      </c>
      <c r="I68" s="43">
        <f t="shared" si="6"/>
        <v>0</v>
      </c>
      <c r="J68" s="10">
        <f>E68*'Physician Types'!$E$4</f>
        <v>139.34828358171387</v>
      </c>
      <c r="K68" s="10">
        <f t="shared" si="8"/>
        <v>0</v>
      </c>
      <c r="L68" s="9"/>
      <c r="M68" s="9"/>
      <c r="N68" s="9"/>
    </row>
    <row r="69" spans="1:14" x14ac:dyDescent="0.2">
      <c r="A69" s="158">
        <v>2</v>
      </c>
      <c r="B69" s="107" t="s">
        <v>43</v>
      </c>
      <c r="C69" s="5">
        <f>SUMIFS(Physician_Visit_April,Physician_Visit_Practice,April!B69,Physician_Visit_Hospitalists, "&lt;&gt;"&amp;'Physician Types'!$D$81)+SUMIFS(Physician_Visit_April,Physician_Visit_Practice,April!B69,Physician_Visit_Hospitalists,'Physician Types'!$D$81)*INDEX(Physician_Type_Hospitalists_Visit_Minutes,MATCH(April!B69,Physician_Type_Practice,0))/INDEX(Physician_Type_Visit_Minutes,MATCH(April!B69,Physician_Type_Practice,0)) +SUMIF(Physician_Minutes_Practice,April!B69,Physician_Minutes_April)/INDEX(Physician_Type_Visit_Minutes,MATCH(April!B69,Physician_Type_Practice,0))</f>
        <v>0</v>
      </c>
      <c r="D69" s="43">
        <f t="shared" si="5"/>
        <v>0</v>
      </c>
      <c r="E69" s="17">
        <f>INDEX(Physician_Type_Bed_Rate,MATCH(April!B69,Physician_Type_Practice,0))*'Hospital Input Page'!$C$4</f>
        <v>2539.1052792690443</v>
      </c>
      <c r="F69" s="9">
        <f t="shared" si="7"/>
        <v>0</v>
      </c>
      <c r="H69" s="5">
        <f t="array" ref="H69">SUMIFS(Physician_Visit_April, Physician_Visit_Practice, April!B69, Independent_Contractor_Visits,  'Physician Types'!$D$81) + SUMIFS(Physician_Minutes_April,Physician_Minutes_Practice,April!B69, Independent_Contractor_Minutes, 'Physician Types'!$D$81)/INDEX(Physician_Type_Visit_Minutes,MATCH(April!B69,Physician_Type_Practice,0))</f>
        <v>0</v>
      </c>
      <c r="I69" s="43">
        <f t="shared" si="6"/>
        <v>0</v>
      </c>
      <c r="J69" s="10">
        <f>E69*'Physician Types'!$E$4</f>
        <v>76.173158378071321</v>
      </c>
      <c r="K69" s="10">
        <f t="shared" si="8"/>
        <v>0</v>
      </c>
      <c r="L69" s="9"/>
      <c r="M69" s="9"/>
      <c r="N69" s="9"/>
    </row>
    <row r="70" spans="1:14" x14ac:dyDescent="0.2">
      <c r="A70" s="158">
        <v>2</v>
      </c>
      <c r="B70" s="107" t="s">
        <v>44</v>
      </c>
      <c r="C70" s="5">
        <f>SUMIFS(Physician_Visit_April,Physician_Visit_Practice,April!B70,Physician_Visit_Hospitalists, "&lt;&gt;"&amp;'Physician Types'!$D$81)+SUMIFS(Physician_Visit_April,Physician_Visit_Practice,April!B70,Physician_Visit_Hospitalists,'Physician Types'!$D$81)*INDEX(Physician_Type_Hospitalists_Visit_Minutes,MATCH(April!B70,Physician_Type_Practice,0))/INDEX(Physician_Type_Visit_Minutes,MATCH(April!B70,Physician_Type_Practice,0)) +SUMIF(Physician_Minutes_Practice,April!B70,Physician_Minutes_April)/INDEX(Physician_Type_Visit_Minutes,MATCH(April!B70,Physician_Type_Practice,0))</f>
        <v>0</v>
      </c>
      <c r="D70" s="43">
        <f t="shared" si="5"/>
        <v>0</v>
      </c>
      <c r="E70" s="17">
        <f>INDEX(Physician_Type_Bed_Rate,MATCH(April!B70,Physician_Type_Practice,0))*'Hospital Input Page'!$C$4</f>
        <v>1619.8750052216039</v>
      </c>
      <c r="F70" s="9">
        <f t="shared" si="7"/>
        <v>0</v>
      </c>
      <c r="H70" s="5">
        <f t="array" ref="H70">SUMIFS(Physician_Visit_April, Physician_Visit_Practice, April!B70, Independent_Contractor_Visits,  'Physician Types'!$D$81) + SUMIFS(Physician_Minutes_April,Physician_Minutes_Practice,April!B70, Independent_Contractor_Minutes, 'Physician Types'!$D$81)/INDEX(Physician_Type_Visit_Minutes,MATCH(April!B70,Physician_Type_Practice,0))</f>
        <v>0</v>
      </c>
      <c r="I70" s="43">
        <f t="shared" si="6"/>
        <v>0</v>
      </c>
      <c r="J70" s="10">
        <f>E70*'Physician Types'!$E$4</f>
        <v>48.596250156648118</v>
      </c>
      <c r="K70" s="10">
        <f t="shared" si="8"/>
        <v>0</v>
      </c>
      <c r="L70" s="9"/>
      <c r="M70" s="9"/>
      <c r="N70" s="9"/>
    </row>
    <row r="71" spans="1:14" x14ac:dyDescent="0.2">
      <c r="A71" s="158">
        <v>2</v>
      </c>
      <c r="B71" s="161" t="s">
        <v>154</v>
      </c>
      <c r="C71" s="5">
        <f>SUMIFS(Physician_Visit_April,Physician_Visit_Practice,April!B71,Physician_Visit_Hospitalists, "&lt;&gt;"&amp;'Physician Types'!$D$81)+SUMIFS(Physician_Visit_April,Physician_Visit_Practice,April!B71,Physician_Visit_Hospitalists,'Physician Types'!$D$81)*INDEX(Physician_Type_Hospitalists_Visit_Minutes,MATCH(April!B71,Physician_Type_Practice,0))/INDEX(Physician_Type_Visit_Minutes,MATCH(April!B71,Physician_Type_Practice,0)) +SUMIF(Physician_Minutes_Practice,April!B71,Physician_Minutes_April)/INDEX(Physician_Type_Visit_Minutes,MATCH(April!B71,Physician_Type_Practice,0))</f>
        <v>0</v>
      </c>
      <c r="D71" s="43">
        <f t="shared" si="5"/>
        <v>0</v>
      </c>
      <c r="E71" s="17">
        <f>INDEX(Physician_Type_Bed_Rate,MATCH(April!B71,Physician_Type_Practice,0))*'Hospital Input Page'!$C$4</f>
        <v>1951.6566327971132</v>
      </c>
      <c r="F71" s="9">
        <f t="shared" si="7"/>
        <v>0</v>
      </c>
      <c r="H71" s="5">
        <f t="array" ref="H71">SUMIFS(Physician_Visit_April, Physician_Visit_Practice, April!B71, Independent_Contractor_Visits,  'Physician Types'!$D$81) + SUMIFS(Physician_Minutes_April,Physician_Minutes_Practice,April!B71, Independent_Contractor_Minutes, 'Physician Types'!$D$81)/INDEX(Physician_Type_Visit_Minutes,MATCH(April!B71,Physician_Type_Practice,0))</f>
        <v>0</v>
      </c>
      <c r="I71" s="43">
        <f t="shared" si="6"/>
        <v>0</v>
      </c>
      <c r="J71" s="10">
        <f>E71*'Physician Types'!$E$4</f>
        <v>58.549698983913395</v>
      </c>
      <c r="K71" s="10">
        <f t="shared" si="8"/>
        <v>0</v>
      </c>
      <c r="L71" s="9"/>
      <c r="M71" s="9"/>
      <c r="N71" s="9"/>
    </row>
    <row r="72" spans="1:14" x14ac:dyDescent="0.2">
      <c r="A72" s="158">
        <v>4</v>
      </c>
      <c r="B72" s="102" t="s">
        <v>62</v>
      </c>
      <c r="C72" s="5">
        <f>SUMIFS(Physician_Visit_April,Physician_Visit_Practice,April!B72,Physician_Visit_Hospitalists, "&lt;&gt;"&amp;'Physician Types'!$D$81)+SUMIFS(Physician_Visit_April,Physician_Visit_Practice,April!B72,Physician_Visit_Hospitalists,'Physician Types'!$D$81)*INDEX(Physician_Type_Hospitalists_Visit_Minutes,MATCH(April!B72,Physician_Type_Practice,0))/INDEX(Physician_Type_Visit_Minutes,MATCH(April!B72,Physician_Type_Practice,0)) +SUMIF(Physician_Minutes_Practice,April!B72,Physician_Minutes_April)/INDEX(Physician_Type_Visit_Minutes,MATCH(April!B72,Physician_Type_Practice,0))</f>
        <v>0</v>
      </c>
      <c r="D72" s="43">
        <f t="shared" si="5"/>
        <v>0</v>
      </c>
      <c r="E72" s="17">
        <f>INDEX(Physician_Type_Bed_Rate,MATCH(April!B72,Physician_Type_Practice,0))*'Hospital Input Page'!$C$4</f>
        <v>2529.3469961050587</v>
      </c>
      <c r="F72" s="9">
        <f t="shared" si="7"/>
        <v>0</v>
      </c>
      <c r="H72" s="5">
        <f t="array" ref="H72">SUMIFS(Physician_Visit_April, Physician_Visit_Practice, April!B72, Independent_Contractor_Visits,  'Physician Types'!$D$81) + SUMIFS(Physician_Minutes_April,Physician_Minutes_Practice,April!B72, Independent_Contractor_Minutes, 'Physician Types'!$D$81)/INDEX(Physician_Type_Visit_Minutes,MATCH(April!B72,Physician_Type_Practice,0))</f>
        <v>0</v>
      </c>
      <c r="I72" s="43">
        <f t="shared" si="6"/>
        <v>0</v>
      </c>
      <c r="J72" s="10">
        <f>E72*'Physician Types'!$E$4</f>
        <v>75.880409883151756</v>
      </c>
      <c r="K72" s="10">
        <f t="shared" si="8"/>
        <v>0</v>
      </c>
      <c r="L72" s="9"/>
      <c r="M72" s="9"/>
      <c r="N72" s="9"/>
    </row>
    <row r="73" spans="1:14" x14ac:dyDescent="0.2">
      <c r="A73" s="158">
        <v>2</v>
      </c>
      <c r="B73" s="107" t="s">
        <v>45</v>
      </c>
      <c r="C73" s="5">
        <f>SUMIFS(Physician_Visit_April,Physician_Visit_Practice,April!B73,Physician_Visit_Hospitalists, "&lt;&gt;"&amp;'Physician Types'!$D$81)+SUMIFS(Physician_Visit_April,Physician_Visit_Practice,April!B73,Physician_Visit_Hospitalists,'Physician Types'!$D$81)*INDEX(Physician_Type_Hospitalists_Visit_Minutes,MATCH(April!B73,Physician_Type_Practice,0))/INDEX(Physician_Type_Visit_Minutes,MATCH(April!B73,Physician_Type_Practice,0)) +SUMIF(Physician_Minutes_Practice,April!B73,Physician_Minutes_April)/INDEX(Physician_Type_Visit_Minutes,MATCH(April!B73,Physician_Type_Practice,0))</f>
        <v>0</v>
      </c>
      <c r="D73" s="43">
        <f t="shared" si="5"/>
        <v>0</v>
      </c>
      <c r="E73" s="17">
        <f>INDEX(Physician_Type_Bed_Rate,MATCH(April!B73,Physician_Type_Practice,0))*'Hospital Input Page'!$C$4</f>
        <v>4844.0117626024357</v>
      </c>
      <c r="F73" s="9">
        <f t="shared" si="7"/>
        <v>0</v>
      </c>
      <c r="H73" s="5">
        <f t="array" ref="H73">SUMIFS(Physician_Visit_April, Physician_Visit_Practice, April!B73, Independent_Contractor_Visits,  'Physician Types'!$D$81) + SUMIFS(Physician_Minutes_April,Physician_Minutes_Practice,April!B73, Independent_Contractor_Minutes, 'Physician Types'!$D$81)/INDEX(Physician_Type_Visit_Minutes,MATCH(April!B73,Physician_Type_Practice,0))</f>
        <v>0</v>
      </c>
      <c r="I73" s="43">
        <f t="shared" si="6"/>
        <v>0</v>
      </c>
      <c r="J73" s="10">
        <f>E73*'Physician Types'!$E$4</f>
        <v>145.32035287807307</v>
      </c>
      <c r="K73" s="10">
        <f t="shared" si="8"/>
        <v>0</v>
      </c>
      <c r="L73" s="9"/>
      <c r="M73" s="9"/>
      <c r="N73" s="9"/>
    </row>
    <row r="74" spans="1:14" x14ac:dyDescent="0.2">
      <c r="A74" s="158">
        <v>4</v>
      </c>
      <c r="B74" s="107" t="s">
        <v>63</v>
      </c>
      <c r="C74" s="5">
        <f>SUMIFS(Physician_Visit_April,Physician_Visit_Practice,April!B74,Physician_Visit_Hospitalists, "&lt;&gt;"&amp;'Physician Types'!$D$81)+SUMIFS(Physician_Visit_April,Physician_Visit_Practice,April!B74,Physician_Visit_Hospitalists,'Physician Types'!$D$81)*INDEX(Physician_Type_Hospitalists_Visit_Minutes,MATCH(April!B74,Physician_Type_Practice,0))/INDEX(Physician_Type_Visit_Minutes,MATCH(April!B74,Physician_Type_Practice,0)) +SUMIF(Physician_Minutes_Practice,April!B74,Physician_Minutes_April)/INDEX(Physician_Type_Visit_Minutes,MATCH(April!B74,Physician_Type_Practice,0))</f>
        <v>0</v>
      </c>
      <c r="D74" s="43">
        <f t="shared" si="5"/>
        <v>0</v>
      </c>
      <c r="E74" s="17">
        <f>INDEX(Physician_Type_Bed_Rate,MATCH(April!B74,Physician_Type_Practice,0))*'Hospital Input Page'!$C$4</f>
        <v>2539.1052792690443</v>
      </c>
      <c r="F74" s="9">
        <f t="shared" si="7"/>
        <v>0</v>
      </c>
      <c r="H74" s="5">
        <f t="array" ref="H74">SUMIFS(Physician_Visit_April, Physician_Visit_Practice, April!B74, Independent_Contractor_Visits,  'Physician Types'!$D$81) + SUMIFS(Physician_Minutes_April,Physician_Minutes_Practice,April!B74, Independent_Contractor_Minutes, 'Physician Types'!$D$81)/INDEX(Physician_Type_Visit_Minutes,MATCH(April!B74,Physician_Type_Practice,0))</f>
        <v>0</v>
      </c>
      <c r="I74" s="43">
        <f t="shared" si="6"/>
        <v>0</v>
      </c>
      <c r="J74" s="10">
        <f>E74*'Physician Types'!$E$4</f>
        <v>76.173158378071321</v>
      </c>
      <c r="K74" s="10">
        <f t="shared" si="8"/>
        <v>0</v>
      </c>
      <c r="L74" s="9"/>
      <c r="M74" s="9"/>
      <c r="N74" s="9"/>
    </row>
    <row r="75" spans="1:14" x14ac:dyDescent="0.2">
      <c r="A75" s="158">
        <v>2</v>
      </c>
      <c r="B75" s="107" t="s">
        <v>46</v>
      </c>
      <c r="C75" s="5">
        <f>SUMIFS(Physician_Visit_April,Physician_Visit_Practice,April!B75,Physician_Visit_Hospitalists, "&lt;&gt;"&amp;'Physician Types'!$D$81)+SUMIFS(Physician_Visit_April,Physician_Visit_Practice,April!B75,Physician_Visit_Hospitalists,'Physician Types'!$D$81)*INDEX(Physician_Type_Hospitalists_Visit_Minutes,MATCH(April!B75,Physician_Type_Practice,0))/INDEX(Physician_Type_Visit_Minutes,MATCH(April!B75,Physician_Type_Practice,0)) +SUMIF(Physician_Minutes_Practice,April!B75,Physician_Minutes_April)/INDEX(Physician_Type_Visit_Minutes,MATCH(April!B75,Physician_Type_Practice,0))</f>
        <v>0</v>
      </c>
      <c r="D75" s="43">
        <f t="shared" si="5"/>
        <v>0</v>
      </c>
      <c r="E75" s="17">
        <f>INDEX(Physician_Type_Bed_Rate,MATCH(April!B75,Physician_Type_Practice,0))*'Hospital Input Page'!$C$4</f>
        <v>1619.8750052216039</v>
      </c>
      <c r="F75" s="9">
        <f t="shared" si="7"/>
        <v>0</v>
      </c>
      <c r="H75" s="5">
        <f t="array" ref="H75">SUMIFS(Physician_Visit_April, Physician_Visit_Practice, April!B75, Independent_Contractor_Visits,  'Physician Types'!$D$81) + SUMIFS(Physician_Minutes_April,Physician_Minutes_Practice,April!B75, Independent_Contractor_Minutes, 'Physician Types'!$D$81)/INDEX(Physician_Type_Visit_Minutes,MATCH(April!B75,Physician_Type_Practice,0))</f>
        <v>0</v>
      </c>
      <c r="I75" s="43">
        <f t="shared" si="6"/>
        <v>0</v>
      </c>
      <c r="J75" s="10">
        <f>E75*'Physician Types'!$E$4</f>
        <v>48.596250156648118</v>
      </c>
      <c r="K75" s="10">
        <f t="shared" si="8"/>
        <v>0</v>
      </c>
      <c r="L75" s="9"/>
      <c r="M75" s="9"/>
      <c r="N75" s="9"/>
    </row>
    <row r="76" spans="1:14" x14ac:dyDescent="0.2">
      <c r="A76" s="158">
        <v>3</v>
      </c>
      <c r="B76" s="102" t="s">
        <v>54</v>
      </c>
      <c r="C76" s="5">
        <f>SUMIFS(Physician_Visit_April,Physician_Visit_Practice,April!B76,Physician_Visit_Hospitalists, "&lt;&gt;"&amp;'Physician Types'!$D$81)+SUMIFS(Physician_Visit_April,Physician_Visit_Practice,April!B76,Physician_Visit_Hospitalists,'Physician Types'!$D$81)*INDEX(Physician_Type_Hospitalists_Visit_Minutes,MATCH(April!B76,Physician_Type_Practice,0))/INDEX(Physician_Type_Visit_Minutes,MATCH(April!B76,Physician_Type_Practice,0)) +SUMIF(Physician_Minutes_Practice,April!B76,Physician_Minutes_April)/INDEX(Physician_Type_Visit_Minutes,MATCH(April!B76,Physician_Type_Practice,0))</f>
        <v>0</v>
      </c>
      <c r="D76" s="43">
        <f t="shared" si="5"/>
        <v>0</v>
      </c>
      <c r="E76" s="17">
        <f>INDEX(Physician_Type_Bed_Rate,MATCH(April!B76,Physician_Type_Practice,0))*'Hospital Input Page'!$C$4</f>
        <v>2699.1411231584075</v>
      </c>
      <c r="F76" s="9">
        <f t="shared" si="7"/>
        <v>0</v>
      </c>
      <c r="H76" s="5">
        <f t="array" ref="H76">SUMIFS(Physician_Visit_April, Physician_Visit_Practice, April!B76, Independent_Contractor_Visits,  'Physician Types'!$D$81) + SUMIFS(Physician_Minutes_April,Physician_Minutes_Practice,April!B76, Independent_Contractor_Minutes, 'Physician Types'!$D$81)/INDEX(Physician_Type_Visit_Minutes,MATCH(April!B76,Physician_Type_Practice,0))</f>
        <v>0</v>
      </c>
      <c r="I76" s="43">
        <f t="shared" si="6"/>
        <v>0</v>
      </c>
      <c r="J76" s="10">
        <f>E76*'Physician Types'!$E$4</f>
        <v>80.974233694752215</v>
      </c>
      <c r="K76" s="10">
        <f t="shared" si="8"/>
        <v>0</v>
      </c>
      <c r="L76" s="9"/>
      <c r="M76" s="9"/>
      <c r="N76" s="9"/>
    </row>
    <row r="77" spans="1:14" x14ac:dyDescent="0.2">
      <c r="A77" s="158">
        <v>3</v>
      </c>
      <c r="B77" s="102" t="s">
        <v>55</v>
      </c>
      <c r="C77" s="5">
        <f>SUMIFS(Physician_Visit_April,Physician_Visit_Practice,April!B77,Physician_Visit_Hospitalists, "&lt;&gt;"&amp;'Physician Types'!$D$81)+SUMIFS(Physician_Visit_April,Physician_Visit_Practice,April!B77,Physician_Visit_Hospitalists,'Physician Types'!$D$81)*INDEX(Physician_Type_Hospitalists_Visit_Minutes,MATCH(April!B77,Physician_Type_Practice,0))/INDEX(Physician_Type_Visit_Minutes,MATCH(April!B77,Physician_Type_Practice,0)) +SUMIF(Physician_Minutes_Practice,April!B77,Physician_Minutes_April)/INDEX(Physician_Type_Visit_Minutes,MATCH(April!B77,Physician_Type_Practice,0))</f>
        <v>0</v>
      </c>
      <c r="D77" s="43">
        <f t="shared" si="5"/>
        <v>0</v>
      </c>
      <c r="E77" s="17">
        <f>INDEX(Physician_Type_Bed_Rate,MATCH(April!B77,Physician_Type_Practice,0))*'Hospital Input Page'!$C$4</f>
        <v>2222.9369047559121</v>
      </c>
      <c r="F77" s="9">
        <f t="shared" si="7"/>
        <v>0</v>
      </c>
      <c r="H77" s="5">
        <f t="array" ref="H77">SUMIFS(Physician_Visit_April, Physician_Visit_Practice, April!B77, Independent_Contractor_Visits,  'Physician Types'!$D$81) + SUMIFS(Physician_Minutes_April,Physician_Minutes_Practice,April!B77, Independent_Contractor_Minutes, 'Physician Types'!$D$81)/INDEX(Physician_Type_Visit_Minutes,MATCH(April!B77,Physician_Type_Practice,0))</f>
        <v>0</v>
      </c>
      <c r="I77" s="43">
        <f t="shared" si="6"/>
        <v>0</v>
      </c>
      <c r="J77" s="10">
        <f>E77*'Physician Types'!$E$4</f>
        <v>66.688107142677367</v>
      </c>
      <c r="K77" s="10">
        <f t="shared" si="8"/>
        <v>0</v>
      </c>
      <c r="L77" s="9"/>
      <c r="M77" s="9"/>
      <c r="N77" s="9"/>
    </row>
    <row r="78" spans="1:14" x14ac:dyDescent="0.2">
      <c r="A78" s="158">
        <v>8</v>
      </c>
      <c r="B78" s="102" t="s">
        <v>77</v>
      </c>
      <c r="C78" s="5">
        <f>SUMIFS(Physician_Visit_April,Physician_Visit_Practice,April!B78,Physician_Visit_Hospitalists, "&lt;&gt;"&amp;'Physician Types'!$D$81)+SUMIFS(Physician_Visit_April,Physician_Visit_Practice,April!B78,Physician_Visit_Hospitalists,'Physician Types'!$D$81)*INDEX(Physician_Type_Hospitalists_Visit_Minutes,MATCH(April!B78,Physician_Type_Practice,0))/INDEX(Physician_Type_Visit_Minutes,MATCH(April!B78,Physician_Type_Practice,0)) +SUMIF(Physician_Minutes_Practice,April!B78,Physician_Minutes_April)/INDEX(Physician_Type_Visit_Minutes,MATCH(April!B78,Physician_Type_Practice,0))</f>
        <v>0</v>
      </c>
      <c r="D78" s="43">
        <f t="shared" ref="D78:D110" si="9">C78*INDEX(Physician_Type_Visit_Minutes,MATCH(B78,Physician_Type_Practice,0))/INDEX(Physician_Type_FTE_Minutes,MATCH(B78,Physician_Type_Practice,0))</f>
        <v>0</v>
      </c>
      <c r="E78" s="17">
        <f>INDEX(Physician_Type_Bed_Rate,MATCH(April!B78,Physician_Type_Practice,0))*'Hospital Input Page'!$C$4</f>
        <v>11024.908318670894</v>
      </c>
      <c r="F78" s="9">
        <f t="shared" si="7"/>
        <v>0</v>
      </c>
      <c r="H78" s="5">
        <f t="array" ref="H78">SUMIFS(Physician_Visit_April, Physician_Visit_Practice, April!B78, Independent_Contractor_Visits,  'Physician Types'!$D$81) + SUMIFS(Physician_Minutes_April,Physician_Minutes_Practice,April!B78, Independent_Contractor_Minutes, 'Physician Types'!$D$81)/INDEX(Physician_Type_Visit_Minutes,MATCH(April!B78,Physician_Type_Practice,0))</f>
        <v>0</v>
      </c>
      <c r="I78" s="43">
        <f t="shared" ref="I78:I110" si="10">H78*INDEX(Physician_Type_Visit_Minutes,MATCH(B78,Physician_Type_Practice,0))/INDEX(Physician_Type_FTE_Minutes,MATCH(B78,Physician_Type_Practice,0))</f>
        <v>0</v>
      </c>
      <c r="J78" s="10">
        <f>E78*'Physician Types'!$E$4</f>
        <v>330.74724956012682</v>
      </c>
      <c r="K78" s="10">
        <f t="shared" si="8"/>
        <v>0</v>
      </c>
      <c r="L78" s="9"/>
      <c r="M78" s="9"/>
      <c r="N78" s="9"/>
    </row>
    <row r="79" spans="1:14" x14ac:dyDescent="0.2">
      <c r="A79" s="158"/>
      <c r="B79" s="102" t="s">
        <v>79</v>
      </c>
      <c r="C79" s="5">
        <f>SUMIFS(Physician_Visit_April,Physician_Visit_Practice,April!B79,Physician_Visit_Hospitalists, "&lt;&gt;"&amp;'Physician Types'!$D$81)+SUMIFS(Physician_Visit_April,Physician_Visit_Practice,April!B79,Physician_Visit_Hospitalists,'Physician Types'!$D$81)*INDEX(Physician_Type_Hospitalists_Visit_Minutes,MATCH(April!B79,Physician_Type_Practice,0))/INDEX(Physician_Type_Visit_Minutes,MATCH(April!B79,Physician_Type_Practice,0)) +SUMIF(Physician_Minutes_Practice,April!B79,Physician_Minutes_April)/INDEX(Physician_Type_Visit_Minutes,MATCH(April!B79,Physician_Type_Practice,0))</f>
        <v>0</v>
      </c>
      <c r="D79" s="43">
        <f t="shared" si="9"/>
        <v>0</v>
      </c>
      <c r="E79" s="17">
        <f>INDEX(Physician_Type_Bed_Rate,MATCH(April!B79,Physician_Type_Practice,0))*'Hospital Input Page'!$C$4</f>
        <v>858.72891843072989</v>
      </c>
      <c r="F79" s="9">
        <f t="shared" si="7"/>
        <v>0</v>
      </c>
      <c r="H79" s="5">
        <f t="array" ref="H79">SUMIFS(Physician_Visit_April, Physician_Visit_Practice, April!B79, Independent_Contractor_Visits,  'Physician Types'!$D$81) + SUMIFS(Physician_Minutes_April,Physician_Minutes_Practice,April!B79, Independent_Contractor_Minutes, 'Physician Types'!$D$81)/INDEX(Physician_Type_Visit_Minutes,MATCH(April!B79,Physician_Type_Practice,0))</f>
        <v>0</v>
      </c>
      <c r="I79" s="43">
        <f t="shared" si="10"/>
        <v>0</v>
      </c>
      <c r="J79" s="10">
        <f>E79*'Physician Types'!$E$4</f>
        <v>25.761867552921895</v>
      </c>
      <c r="K79" s="10">
        <f t="shared" si="8"/>
        <v>0</v>
      </c>
      <c r="L79" s="9"/>
      <c r="M79" s="9"/>
      <c r="N79" s="9"/>
    </row>
    <row r="80" spans="1:14" x14ac:dyDescent="0.2">
      <c r="A80" s="158">
        <v>5</v>
      </c>
      <c r="B80" s="102" t="s">
        <v>67</v>
      </c>
      <c r="C80" s="5">
        <f>SUMIFS(Physician_Visit_April,Physician_Visit_Practice,April!B80,Physician_Visit_Hospitalists, "&lt;&gt;"&amp;'Physician Types'!$D$81)+SUMIFS(Physician_Visit_April,Physician_Visit_Practice,April!B80,Physician_Visit_Hospitalists,'Physician Types'!$D$81)*INDEX(Physician_Type_Hospitalists_Visit_Minutes,MATCH(April!B80,Physician_Type_Practice,0))/INDEX(Physician_Type_Visit_Minutes,MATCH(April!B80,Physician_Type_Practice,0)) +SUMIF(Physician_Minutes_Practice,April!B80,Physician_Minutes_April)/INDEX(Physician_Type_Visit_Minutes,MATCH(April!B80,Physician_Type_Practice,0))</f>
        <v>0</v>
      </c>
      <c r="D80" s="43">
        <f t="shared" si="9"/>
        <v>0</v>
      </c>
      <c r="E80" s="17">
        <f>INDEX(Physician_Type_Bed_Rate,MATCH(April!B80,Physician_Type_Practice,0))*'Hospital Input Page'!$C$4</f>
        <v>1955.5599460627077</v>
      </c>
      <c r="F80" s="9">
        <f t="shared" si="7"/>
        <v>0</v>
      </c>
      <c r="H80" s="5">
        <f t="array" ref="H80">SUMIFS(Physician_Visit_April, Physician_Visit_Practice, April!B80, Independent_Contractor_Visits,  'Physician Types'!$D$81) + SUMIFS(Physician_Minutes_April,Physician_Minutes_Practice,April!B80, Independent_Contractor_Minutes, 'Physician Types'!$D$81)/INDEX(Physician_Type_Visit_Minutes,MATCH(April!B80,Physician_Type_Practice,0))</f>
        <v>0</v>
      </c>
      <c r="I80" s="43">
        <f t="shared" si="10"/>
        <v>0</v>
      </c>
      <c r="J80" s="10">
        <f>E80*'Physician Types'!$E$4</f>
        <v>58.666798381881229</v>
      </c>
      <c r="K80" s="10">
        <f t="shared" si="8"/>
        <v>0</v>
      </c>
      <c r="L80" s="9"/>
      <c r="M80" s="9"/>
      <c r="N80" s="9"/>
    </row>
    <row r="81" spans="1:14" x14ac:dyDescent="0.2">
      <c r="A81" s="158"/>
      <c r="B81" s="102" t="s">
        <v>80</v>
      </c>
      <c r="C81" s="5">
        <f>SUMIFS(Physician_Visit_April,Physician_Visit_Practice,April!B81,Physician_Visit_Hospitalists, "&lt;&gt;"&amp;'Physician Types'!$D$81)+SUMIFS(Physician_Visit_April,Physician_Visit_Practice,April!B81,Physician_Visit_Hospitalists,'Physician Types'!$D$81)*INDEX(Physician_Type_Hospitalists_Visit_Minutes,MATCH(April!B81,Physician_Type_Practice,0))/INDEX(Physician_Type_Visit_Minutes,MATCH(April!B81,Physician_Type_Practice,0)) +SUMIF(Physician_Minutes_Practice,April!B81,Physician_Minutes_April)/INDEX(Physician_Type_Visit_Minutes,MATCH(April!B81,Physician_Type_Practice,0))</f>
        <v>0</v>
      </c>
      <c r="D81" s="43">
        <f t="shared" si="9"/>
        <v>0</v>
      </c>
      <c r="E81" s="17">
        <f>INDEX(Physician_Type_Bed_Rate,MATCH(April!B81,Physician_Type_Practice,0))*'Hospital Input Page'!$C$4</f>
        <v>493.76912809766964</v>
      </c>
      <c r="F81" s="9">
        <f t="shared" si="7"/>
        <v>0</v>
      </c>
      <c r="H81" s="5">
        <f t="array" ref="H81">SUMIFS(Physician_Visit_April, Physician_Visit_Practice, April!B81, Independent_Contractor_Visits,  'Physician Types'!$D$81) + SUMIFS(Physician_Minutes_April,Physician_Minutes_Practice,April!B81, Independent_Contractor_Minutes, 'Physician Types'!$D$81)/INDEX(Physician_Type_Visit_Minutes,MATCH(April!B81,Physician_Type_Practice,0))</f>
        <v>0</v>
      </c>
      <c r="I81" s="43">
        <f t="shared" si="10"/>
        <v>0</v>
      </c>
      <c r="J81" s="10">
        <f>E81*'Physician Types'!$E$4</f>
        <v>14.813073842930088</v>
      </c>
      <c r="K81" s="10">
        <f t="shared" si="8"/>
        <v>0</v>
      </c>
      <c r="L81" s="9"/>
      <c r="M81" s="9"/>
      <c r="N81" s="9"/>
    </row>
    <row r="82" spans="1:14" x14ac:dyDescent="0.2">
      <c r="A82" s="158">
        <v>8</v>
      </c>
      <c r="B82" s="128" t="s">
        <v>139</v>
      </c>
      <c r="C82" s="5">
        <f>SUMIFS(Physician_Visit_April,Physician_Visit_Practice,April!B82,Physician_Visit_Hospitalists, "&lt;&gt;"&amp;'Physician Types'!$D$81)+SUMIFS(Physician_Visit_April,Physician_Visit_Practice,April!B82,Physician_Visit_Hospitalists,'Physician Types'!$D$81)*INDEX(Physician_Type_Hospitalists_Visit_Minutes,MATCH(April!B82,Physician_Type_Practice,0))/INDEX(Physician_Type_Visit_Minutes,MATCH(April!B82,Physician_Type_Practice,0)) +SUMIF(Physician_Minutes_Practice,April!B82,Physician_Minutes_April)/INDEX(Physician_Type_Visit_Minutes,MATCH(April!B82,Physician_Type_Practice,0))</f>
        <v>0</v>
      </c>
      <c r="D82" s="43">
        <f t="shared" si="9"/>
        <v>0</v>
      </c>
      <c r="E82" s="17">
        <f>INDEX(Physician_Type_Bed_Rate,MATCH(April!B82,Physician_Type_Practice,0))*'Hospital Input Page'!$C$4</f>
        <v>8509.2229189954141</v>
      </c>
      <c r="F82" s="9">
        <f t="shared" si="7"/>
        <v>0</v>
      </c>
      <c r="H82" s="5">
        <f t="array" ref="H82">SUMIFS(Physician_Visit_April, Physician_Visit_Practice, April!B82, Independent_Contractor_Visits,  'Physician Types'!$D$81) + SUMIFS(Physician_Minutes_April,Physician_Minutes_Practice,April!B82, Independent_Contractor_Minutes, 'Physician Types'!$D$81)/INDEX(Physician_Type_Visit_Minutes,MATCH(April!B82,Physician_Type_Practice,0))</f>
        <v>0</v>
      </c>
      <c r="I82" s="43">
        <f t="shared" si="10"/>
        <v>0</v>
      </c>
      <c r="J82" s="10">
        <f>E82*'Physician Types'!$E$4</f>
        <v>255.27668756986242</v>
      </c>
      <c r="K82" s="10">
        <f t="shared" si="8"/>
        <v>0</v>
      </c>
      <c r="L82" s="9"/>
      <c r="M82" s="9"/>
      <c r="N82" s="9"/>
    </row>
    <row r="83" spans="1:14" x14ac:dyDescent="0.2">
      <c r="A83" s="158">
        <v>8</v>
      </c>
      <c r="B83" s="102" t="s">
        <v>78</v>
      </c>
      <c r="C83" s="5">
        <f>SUMIFS(Physician_Visit_April,Physician_Visit_Practice,April!B83,Physician_Visit_Hospitalists, "&lt;&gt;"&amp;'Physician Types'!$D$81)+SUMIFS(Physician_Visit_April,Physician_Visit_Practice,April!B83,Physician_Visit_Hospitalists,'Physician Types'!$D$81)*INDEX(Physician_Type_Hospitalists_Visit_Minutes,MATCH(April!B83,Physician_Type_Practice,0))/INDEX(Physician_Type_Visit_Minutes,MATCH(April!B83,Physician_Type_Practice,0)) +SUMIF(Physician_Minutes_Practice,April!B83,Physician_Minutes_April)/INDEX(Physician_Type_Visit_Minutes,MATCH(April!B83,Physician_Type_Practice,0))</f>
        <v>0</v>
      </c>
      <c r="D83" s="43">
        <f t="shared" si="9"/>
        <v>0</v>
      </c>
      <c r="E83" s="17">
        <f>INDEX(Physician_Type_Bed_Rate,MATCH(April!B83,Physician_Type_Practice,0))*'Hospital Input Page'!$C$4</f>
        <v>8509.2229189954141</v>
      </c>
      <c r="F83" s="9">
        <f t="shared" si="7"/>
        <v>0</v>
      </c>
      <c r="H83" s="5">
        <f t="array" ref="H83">SUMIFS(Physician_Visit_April, Physician_Visit_Practice, April!B83, Independent_Contractor_Visits,  'Physician Types'!$D$81) + SUMIFS(Physician_Minutes_April,Physician_Minutes_Practice,April!B83, Independent_Contractor_Minutes, 'Physician Types'!$D$81)/INDEX(Physician_Type_Visit_Minutes,MATCH(April!B83,Physician_Type_Practice,0))</f>
        <v>0</v>
      </c>
      <c r="I83" s="43">
        <f t="shared" si="10"/>
        <v>0</v>
      </c>
      <c r="J83" s="10">
        <f>E83*'Physician Types'!$E$4</f>
        <v>255.27668756986242</v>
      </c>
      <c r="K83" s="10">
        <f t="shared" si="8"/>
        <v>0</v>
      </c>
      <c r="L83" s="9"/>
      <c r="M83" s="9"/>
      <c r="N83" s="9"/>
    </row>
    <row r="84" spans="1:14" x14ac:dyDescent="0.2">
      <c r="A84" s="158">
        <v>2</v>
      </c>
      <c r="B84" s="107" t="s">
        <v>47</v>
      </c>
      <c r="C84" s="5">
        <f>SUMIFS(Physician_Visit_April,Physician_Visit_Practice,April!B84,Physician_Visit_Hospitalists, "&lt;&gt;"&amp;'Physician Types'!$D$81)+SUMIFS(Physician_Visit_April,Physician_Visit_Practice,April!B84,Physician_Visit_Hospitalists,'Physician Types'!$D$81)*INDEX(Physician_Type_Hospitalists_Visit_Minutes,MATCH(April!B84,Physician_Type_Practice,0))/INDEX(Physician_Type_Visit_Minutes,MATCH(April!B84,Physician_Type_Practice,0)) +SUMIF(Physician_Minutes_Practice,April!B84,Physician_Minutes_April)/INDEX(Physician_Type_Visit_Minutes,MATCH(April!B84,Physician_Type_Practice,0))</f>
        <v>0</v>
      </c>
      <c r="D84" s="43">
        <f t="shared" si="9"/>
        <v>0</v>
      </c>
      <c r="E84" s="17">
        <f>INDEX(Physician_Type_Bed_Rate,MATCH(April!B84,Physician_Type_Practice,0))*'Hospital Input Page'!$C$4</f>
        <v>1727.2161200254454</v>
      </c>
      <c r="F84" s="9">
        <f t="shared" si="7"/>
        <v>0</v>
      </c>
      <c r="H84" s="5">
        <f t="array" ref="H84">SUMIFS(Physician_Visit_April, Physician_Visit_Practice, April!B84, Independent_Contractor_Visits,  'Physician Types'!$D$81) + SUMIFS(Physician_Minutes_April,Physician_Minutes_Practice,April!B84, Independent_Contractor_Minutes, 'Physician Types'!$D$81)/INDEX(Physician_Type_Visit_Minutes,MATCH(April!B84,Physician_Type_Practice,0))</f>
        <v>0</v>
      </c>
      <c r="I84" s="43">
        <f t="shared" si="10"/>
        <v>0</v>
      </c>
      <c r="J84" s="10">
        <f>E84*'Physician Types'!$E$4</f>
        <v>51.816483600763362</v>
      </c>
      <c r="K84" s="10">
        <f t="shared" si="8"/>
        <v>0</v>
      </c>
      <c r="L84" s="9"/>
      <c r="M84" s="9"/>
      <c r="N84" s="9"/>
    </row>
    <row r="85" spans="1:14" x14ac:dyDescent="0.2">
      <c r="A85" s="158">
        <v>3</v>
      </c>
      <c r="B85" s="102" t="s">
        <v>56</v>
      </c>
      <c r="C85" s="5">
        <f>SUMIFS(Physician_Visit_April,Physician_Visit_Practice,April!B85,Physician_Visit_Hospitalists, "&lt;&gt;"&amp;'Physician Types'!$D$81)+SUMIFS(Physician_Visit_April,Physician_Visit_Practice,April!B85,Physician_Visit_Hospitalists,'Physician Types'!$D$81)*INDEX(Physician_Type_Hospitalists_Visit_Minutes,MATCH(April!B85,Physician_Type_Practice,0))/INDEX(Physician_Type_Visit_Minutes,MATCH(April!B85,Physician_Type_Practice,0)) +SUMIF(Physician_Minutes_Practice,April!B85,Physician_Minutes_April)/INDEX(Physician_Type_Visit_Minutes,MATCH(April!B85,Physician_Type_Practice,0))</f>
        <v>0</v>
      </c>
      <c r="D85" s="43">
        <f t="shared" si="9"/>
        <v>0</v>
      </c>
      <c r="E85" s="17">
        <f>INDEX(Physician_Type_Bed_Rate,MATCH(April!B85,Physician_Type_Practice,0))*'Hospital Input Page'!$C$4</f>
        <v>1842.3638613604746</v>
      </c>
      <c r="F85" s="9">
        <f t="shared" si="7"/>
        <v>0</v>
      </c>
      <c r="H85" s="5">
        <f t="array" ref="H85">SUMIFS(Physician_Visit_April, Physician_Visit_Practice, April!B85, Independent_Contractor_Visits,  'Physician Types'!$D$81) + SUMIFS(Physician_Minutes_April,Physician_Minutes_Practice,April!B85, Independent_Contractor_Minutes, 'Physician Types'!$D$81)/INDEX(Physician_Type_Visit_Minutes,MATCH(April!B85,Physician_Type_Practice,0))</f>
        <v>0</v>
      </c>
      <c r="I85" s="43">
        <f t="shared" si="10"/>
        <v>0</v>
      </c>
      <c r="J85" s="10">
        <f>E85*'Physician Types'!$E$4</f>
        <v>55.27091584081424</v>
      </c>
      <c r="K85" s="10">
        <f t="shared" si="8"/>
        <v>0</v>
      </c>
      <c r="L85" s="9"/>
      <c r="M85" s="9"/>
      <c r="N85" s="9"/>
    </row>
    <row r="86" spans="1:14" x14ac:dyDescent="0.2">
      <c r="A86" s="158">
        <v>3</v>
      </c>
      <c r="B86" s="102" t="s">
        <v>57</v>
      </c>
      <c r="C86" s="5">
        <f>SUMIFS(Physician_Visit_April,Physician_Visit_Practice,April!B86,Physician_Visit_Hospitalists, "&lt;&gt;"&amp;'Physician Types'!$D$81)+SUMIFS(Physician_Visit_April,Physician_Visit_Practice,April!B86,Physician_Visit_Hospitalists,'Physician Types'!$D$81)*INDEX(Physician_Type_Hospitalists_Visit_Minutes,MATCH(April!B86,Physician_Type_Practice,0))/INDEX(Physician_Type_Visit_Minutes,MATCH(April!B86,Physician_Type_Practice,0)) +SUMIF(Physician_Minutes_Practice,April!B86,Physician_Minutes_April)/INDEX(Physician_Type_Visit_Minutes,MATCH(April!B86,Physician_Type_Practice,0))</f>
        <v>0</v>
      </c>
      <c r="D86" s="43">
        <f t="shared" si="9"/>
        <v>0</v>
      </c>
      <c r="E86" s="17">
        <f>INDEX(Physician_Type_Bed_Rate,MATCH(April!B86,Physician_Type_Practice,0))*'Hospital Input Page'!$C$4</f>
        <v>1165.1390097798767</v>
      </c>
      <c r="F86" s="9">
        <f t="shared" si="7"/>
        <v>0</v>
      </c>
      <c r="H86" s="5">
        <f t="array" ref="H86">SUMIFS(Physician_Visit_April, Physician_Visit_Practice, April!B86, Independent_Contractor_Visits,  'Physician Types'!$D$81) + SUMIFS(Physician_Minutes_April,Physician_Minutes_Practice,April!B86, Independent_Contractor_Minutes, 'Physician Types'!$D$81)/INDEX(Physician_Type_Visit_Minutes,MATCH(April!B86,Physician_Type_Practice,0))</f>
        <v>0</v>
      </c>
      <c r="I86" s="43">
        <f t="shared" si="10"/>
        <v>0</v>
      </c>
      <c r="J86" s="10">
        <f>E86*'Physician Types'!$E$4</f>
        <v>34.954170293396302</v>
      </c>
      <c r="K86" s="10">
        <f t="shared" si="8"/>
        <v>0</v>
      </c>
      <c r="L86" s="9"/>
      <c r="M86" s="9"/>
      <c r="N86" s="9"/>
    </row>
    <row r="87" spans="1:14" x14ac:dyDescent="0.2">
      <c r="A87" s="158">
        <v>3</v>
      </c>
      <c r="B87" s="102" t="s">
        <v>58</v>
      </c>
      <c r="C87" s="5">
        <f>SUMIFS(Physician_Visit_April,Physician_Visit_Practice,April!B87,Physician_Visit_Hospitalists, "&lt;&gt;"&amp;'Physician Types'!$D$81)+SUMIFS(Physician_Visit_April,Physician_Visit_Practice,April!B87,Physician_Visit_Hospitalists,'Physician Types'!$D$81)*INDEX(Physician_Type_Hospitalists_Visit_Minutes,MATCH(April!B87,Physician_Type_Practice,0))/INDEX(Physician_Type_Visit_Minutes,MATCH(April!B87,Physician_Type_Practice,0)) +SUMIF(Physician_Minutes_Practice,April!B87,Physician_Minutes_April)/INDEX(Physician_Type_Visit_Minutes,MATCH(April!B87,Physician_Type_Practice,0))</f>
        <v>0</v>
      </c>
      <c r="D87" s="43">
        <f t="shared" si="9"/>
        <v>0</v>
      </c>
      <c r="E87" s="17">
        <f>INDEX(Physician_Type_Bed_Rate,MATCH(April!B87,Physician_Type_Practice,0))*'Hospital Input Page'!$C$4</f>
        <v>2406.3926282388406</v>
      </c>
      <c r="F87" s="9">
        <f t="shared" si="7"/>
        <v>0</v>
      </c>
      <c r="H87" s="5">
        <f t="array" ref="H87">SUMIFS(Physician_Visit_April, Physician_Visit_Practice, April!B87, Independent_Contractor_Visits,  'Physician Types'!$D$81) + SUMIFS(Physician_Minutes_April,Physician_Minutes_Practice,April!B87, Independent_Contractor_Minutes, 'Physician Types'!$D$81)/INDEX(Physician_Type_Visit_Minutes,MATCH(April!B87,Physician_Type_Practice,0))</f>
        <v>0</v>
      </c>
      <c r="I87" s="43">
        <f t="shared" si="10"/>
        <v>0</v>
      </c>
      <c r="J87" s="10">
        <f>E87*'Physician Types'!$E$4</f>
        <v>72.19177884716521</v>
      </c>
      <c r="K87" s="10">
        <f t="shared" si="8"/>
        <v>0</v>
      </c>
      <c r="L87" s="9"/>
      <c r="M87" s="9"/>
      <c r="N87" s="9"/>
    </row>
    <row r="88" spans="1:14" x14ac:dyDescent="0.2">
      <c r="A88" s="158">
        <v>7</v>
      </c>
      <c r="B88" s="102" t="s">
        <v>73</v>
      </c>
      <c r="C88" s="5">
        <f>SUMIFS(Physician_Visit_April,Physician_Visit_Practice,April!B88,Physician_Visit_Hospitalists, "&lt;&gt;"&amp;'Physician Types'!$D$81)+SUMIFS(Physician_Visit_April,Physician_Visit_Practice,April!B88,Physician_Visit_Hospitalists,'Physician Types'!$D$81)*INDEX(Physician_Type_Hospitalists_Visit_Minutes,MATCH(April!B88,Physician_Type_Practice,0))/INDEX(Physician_Type_Visit_Minutes,MATCH(April!B88,Physician_Type_Practice,0)) +SUMIF(Physician_Minutes_Practice,April!B88,Physician_Minutes_April)/INDEX(Physician_Type_Visit_Minutes,MATCH(April!B88,Physician_Type_Practice,0))</f>
        <v>0</v>
      </c>
      <c r="D88" s="43">
        <f t="shared" si="9"/>
        <v>0</v>
      </c>
      <c r="E88" s="17">
        <f>INDEX(Physician_Type_Bed_Rate,MATCH(April!B88,Physician_Type_Practice,0))*'Hospital Input Page'!$C$4</f>
        <v>7172.3381255293916</v>
      </c>
      <c r="F88" s="9">
        <f t="shared" si="7"/>
        <v>0</v>
      </c>
      <c r="H88" s="5">
        <f t="array" ref="H88">SUMIFS(Physician_Visit_April, Physician_Visit_Practice, April!B88, Independent_Contractor_Visits,  'Physician Types'!$D$81) + SUMIFS(Physician_Minutes_April,Physician_Minutes_Practice,April!B88, Independent_Contractor_Minutes, 'Physician Types'!$D$81)/INDEX(Physician_Type_Visit_Minutes,MATCH(April!B88,Physician_Type_Practice,0))</f>
        <v>0</v>
      </c>
      <c r="I88" s="43">
        <f t="shared" si="10"/>
        <v>0</v>
      </c>
      <c r="J88" s="10">
        <f>E88*'Physician Types'!$E$4</f>
        <v>215.17014376588173</v>
      </c>
      <c r="K88" s="10">
        <f t="shared" si="8"/>
        <v>0</v>
      </c>
      <c r="L88" s="9"/>
      <c r="M88" s="9"/>
      <c r="N88" s="9"/>
    </row>
    <row r="89" spans="1:14" x14ac:dyDescent="0.2">
      <c r="A89" s="158">
        <v>7</v>
      </c>
      <c r="B89" s="128" t="s">
        <v>74</v>
      </c>
      <c r="C89" s="5">
        <f>SUMIFS(Physician_Visit_April,Physician_Visit_Practice,April!B89,Physician_Visit_Hospitalists, "&lt;&gt;"&amp;'Physician Types'!$D$81)+SUMIFS(Physician_Visit_April,Physician_Visit_Practice,April!B89,Physician_Visit_Hospitalists,'Physician Types'!$D$81)*INDEX(Physician_Type_Hospitalists_Visit_Minutes,MATCH(April!B89,Physician_Type_Practice,0))/INDEX(Physician_Type_Visit_Minutes,MATCH(April!B89,Physician_Type_Practice,0)) +SUMIF(Physician_Minutes_Practice,April!B89,Physician_Minutes_April)/INDEX(Physician_Type_Visit_Minutes,MATCH(April!B89,Physician_Type_Practice,0))</f>
        <v>0</v>
      </c>
      <c r="D89" s="43">
        <f t="shared" si="9"/>
        <v>0</v>
      </c>
      <c r="E89" s="17">
        <f>INDEX(Physician_Type_Bed_Rate,MATCH(April!B89,Physician_Type_Practice,0))*'Hospital Input Page'!$C$4</f>
        <v>4073.1073926475756</v>
      </c>
      <c r="F89" s="9">
        <f t="shared" si="7"/>
        <v>0</v>
      </c>
      <c r="H89" s="5">
        <f t="array" ref="H89">SUMIFS(Physician_Visit_April, Physician_Visit_Practice, April!B89, Independent_Contractor_Visits,  'Physician Types'!$D$81) + SUMIFS(Physician_Minutes_April,Physician_Minutes_Practice,April!B89, Independent_Contractor_Minutes, 'Physician Types'!$D$81)/INDEX(Physician_Type_Visit_Minutes,MATCH(April!B89,Physician_Type_Practice,0))</f>
        <v>0</v>
      </c>
      <c r="I89" s="43">
        <f t="shared" si="10"/>
        <v>0</v>
      </c>
      <c r="J89" s="10">
        <f>E89*'Physician Types'!$E$4</f>
        <v>122.19322177942726</v>
      </c>
      <c r="K89" s="10">
        <f t="shared" si="8"/>
        <v>0</v>
      </c>
      <c r="L89" s="9"/>
      <c r="M89" s="9"/>
      <c r="N89" s="9"/>
    </row>
    <row r="90" spans="1:14" x14ac:dyDescent="0.2">
      <c r="A90" s="158">
        <v>4</v>
      </c>
      <c r="B90" s="128" t="s">
        <v>146</v>
      </c>
      <c r="C90" s="5">
        <f>SUMIFS(Physician_Visit_April,Physician_Visit_Practice,April!B90,Physician_Visit_Hospitalists, "&lt;&gt;"&amp;'Physician Types'!$D$81)+SUMIFS(Physician_Visit_April,Physician_Visit_Practice,April!B90,Physician_Visit_Hospitalists,'Physician Types'!$D$81)*INDEX(Physician_Type_Hospitalists_Visit_Minutes,MATCH(April!B90,Physician_Type_Practice,0))/INDEX(Physician_Type_Visit_Minutes,MATCH(April!B90,Physician_Type_Practice,0)) +SUMIF(Physician_Minutes_Practice,April!B90,Physician_Minutes_April)/INDEX(Physician_Type_Visit_Minutes,MATCH(April!B90,Physician_Type_Practice,0))</f>
        <v>0</v>
      </c>
      <c r="D90" s="43">
        <f t="shared" si="9"/>
        <v>0</v>
      </c>
      <c r="E90" s="17">
        <f>INDEX(Physician_Type_Bed_Rate,MATCH(April!B90,Physician_Type_Practice,0))*'Hospital Input Page'!$C$4</f>
        <v>2997.7445879763663</v>
      </c>
      <c r="F90" s="9">
        <f t="shared" si="7"/>
        <v>0</v>
      </c>
      <c r="H90" s="5">
        <f t="array" ref="H90">SUMIFS(Physician_Visit_April, Physician_Visit_Practice, April!B90, Independent_Contractor_Visits,  'Physician Types'!$D$81) + SUMIFS(Physician_Minutes_April,Physician_Minutes_Practice,April!B90, Independent_Contractor_Minutes, 'Physician Types'!$D$81)/INDEX(Physician_Type_Visit_Minutes,MATCH(April!B90,Physician_Type_Practice,0))</f>
        <v>0</v>
      </c>
      <c r="I90" s="43">
        <f t="shared" si="10"/>
        <v>0</v>
      </c>
      <c r="J90" s="10">
        <f>E90*'Physician Types'!$E$4</f>
        <v>89.932337639290992</v>
      </c>
      <c r="K90" s="10">
        <f t="shared" si="8"/>
        <v>0</v>
      </c>
      <c r="L90" s="9"/>
      <c r="M90" s="9"/>
      <c r="N90" s="9"/>
    </row>
    <row r="91" spans="1:14" x14ac:dyDescent="0.2">
      <c r="A91" s="158">
        <v>6</v>
      </c>
      <c r="B91" s="128" t="s">
        <v>71</v>
      </c>
      <c r="C91" s="5">
        <f>SUMIFS(Physician_Visit_April,Physician_Visit_Practice,April!B91,Physician_Visit_Hospitalists, "&lt;&gt;"&amp;'Physician Types'!$D$81)+SUMIFS(Physician_Visit_April,Physician_Visit_Practice,April!B91,Physician_Visit_Hospitalists,'Physician Types'!$D$81)*INDEX(Physician_Type_Hospitalists_Visit_Minutes,MATCH(April!B91,Physician_Type_Practice,0))/INDEX(Physician_Type_Visit_Minutes,MATCH(April!B91,Physician_Type_Practice,0)) +SUMIF(Physician_Minutes_Practice,April!B91,Physician_Minutes_April)/INDEX(Physician_Type_Visit_Minutes,MATCH(April!B91,Physician_Type_Practice,0))</f>
        <v>0</v>
      </c>
      <c r="D91" s="43">
        <f t="shared" si="9"/>
        <v>0</v>
      </c>
      <c r="E91" s="17">
        <f>INDEX(Physician_Type_Bed_Rate,MATCH(April!B91,Physician_Type_Practice,0))*'Hospital Input Page'!$C$4</f>
        <v>4912.3197447503335</v>
      </c>
      <c r="F91" s="9">
        <f t="shared" si="7"/>
        <v>0</v>
      </c>
      <c r="H91" s="5">
        <f t="array" ref="H91">SUMIFS(Physician_Visit_April, Physician_Visit_Practice, April!B91, Independent_Contractor_Visits,  'Physician Types'!$D$81) + SUMIFS(Physician_Minutes_April,Physician_Minutes_Practice,April!B91, Independent_Contractor_Minutes, 'Physician Types'!$D$81)/INDEX(Physician_Type_Visit_Minutes,MATCH(April!B91,Physician_Type_Practice,0))</f>
        <v>0</v>
      </c>
      <c r="I91" s="43">
        <f t="shared" si="10"/>
        <v>0</v>
      </c>
      <c r="J91" s="10">
        <f>E91*'Physician Types'!$E$4</f>
        <v>147.36959234251</v>
      </c>
      <c r="K91" s="10">
        <f t="shared" si="8"/>
        <v>0</v>
      </c>
      <c r="L91" s="9"/>
      <c r="M91" s="9"/>
      <c r="N91" s="9"/>
    </row>
    <row r="92" spans="1:14" x14ac:dyDescent="0.2">
      <c r="A92" s="158">
        <v>4</v>
      </c>
      <c r="B92" s="128" t="s">
        <v>152</v>
      </c>
      <c r="C92" s="5">
        <f>SUMIFS(Physician_Visit_April,Physician_Visit_Practice,April!B92,Physician_Visit_Hospitalists, "&lt;&gt;"&amp;'Physician Types'!$D$81)+SUMIFS(Physician_Visit_April,Physician_Visit_Practice,April!B92,Physician_Visit_Hospitalists,'Physician Types'!$D$81)*INDEX(Physician_Type_Hospitalists_Visit_Minutes,MATCH(April!B92,Physician_Type_Practice,0))/INDEX(Physician_Type_Visit_Minutes,MATCH(April!B92,Physician_Type_Practice,0)) +SUMIF(Physician_Minutes_Practice,April!B92,Physician_Minutes_April)/INDEX(Physician_Type_Visit_Minutes,MATCH(April!B92,Physician_Type_Practice,0))</f>
        <v>0</v>
      </c>
      <c r="D92" s="43">
        <f t="shared" si="9"/>
        <v>0</v>
      </c>
      <c r="E92" s="17">
        <f>IFERROR(INDEX(Physician_Type_Bed_Rate,MATCH(April!B92,Physician_Type_Practice,0))*'Hospital Input Page'!$C$4,0)</f>
        <v>2664.0113037680594</v>
      </c>
      <c r="F92" s="9">
        <f t="shared" si="7"/>
        <v>0</v>
      </c>
      <c r="H92" s="5">
        <f t="array" ref="H92">SUMIFS(Physician_Visit_April, Physician_Visit_Practice, April!B92, Independent_Contractor_Visits,  'Physician Types'!$D$81) + SUMIFS(Physician_Minutes_April,Physician_Minutes_Practice,April!B92, Independent_Contractor_Minutes, 'Physician Types'!$D$81)/INDEX(Physician_Type_Visit_Minutes,MATCH(April!B92,Physician_Type_Practice,0))</f>
        <v>0</v>
      </c>
      <c r="I92" s="43">
        <f t="shared" si="10"/>
        <v>0</v>
      </c>
      <c r="J92" s="10">
        <f>E92*'Physician Types'!$E$4</f>
        <v>79.920339113041777</v>
      </c>
      <c r="K92" s="10">
        <f t="shared" si="8"/>
        <v>0</v>
      </c>
      <c r="L92" s="9"/>
      <c r="M92" s="9"/>
      <c r="N92" s="9"/>
    </row>
    <row r="93" spans="1:14" x14ac:dyDescent="0.2">
      <c r="A93" s="158">
        <v>1</v>
      </c>
      <c r="B93" s="107" t="s">
        <v>30</v>
      </c>
      <c r="C93" s="5">
        <f>SUMIFS(Physician_Visit_April,Physician_Visit_Practice,April!B93,Physician_Visit_Hospitalists, "&lt;&gt;"&amp;'Physician Types'!$D$81)+SUMIFS(Physician_Visit_April,Physician_Visit_Practice,April!B93,Physician_Visit_Hospitalists,'Physician Types'!$D$81)*INDEX(Physician_Type_Hospitalists_Visit_Minutes,MATCH(April!B93,Physician_Type_Practice,0))/INDEX(Physician_Type_Visit_Minutes,MATCH(April!B93,Physician_Type_Practice,0)) +SUMIF(Physician_Minutes_Practice,April!B93,Physician_Minutes_April)/INDEX(Physician_Type_Visit_Minutes,MATCH(April!B93,Physician_Type_Practice,0))</f>
        <v>0</v>
      </c>
      <c r="D93" s="43">
        <f t="shared" si="9"/>
        <v>0</v>
      </c>
      <c r="E93" s="17">
        <f>INDEX(Physician_Type_Bed_Rate,MATCH(April!B93,Physician_Type_Practice,0))*'Hospital Input Page'!$C$4</f>
        <v>2544.9602491674359</v>
      </c>
      <c r="F93" s="9">
        <f t="shared" si="7"/>
        <v>0</v>
      </c>
      <c r="H93" s="5">
        <f t="array" ref="H93">SUMIFS(Physician_Visit_April, Physician_Visit_Practice, April!B93, Independent_Contractor_Visits,  'Physician Types'!$D$81) + SUMIFS(Physician_Minutes_April,Physician_Minutes_Practice,April!B93, Independent_Contractor_Minutes, 'Physician Types'!$D$81)/INDEX(Physician_Type_Visit_Minutes,MATCH(April!B93,Physician_Type_Practice,0))</f>
        <v>0</v>
      </c>
      <c r="I93" s="43">
        <f t="shared" si="10"/>
        <v>0</v>
      </c>
      <c r="J93" s="10">
        <f>E93*'Physician Types'!$E$4</f>
        <v>76.348807475023079</v>
      </c>
      <c r="K93" s="10">
        <f t="shared" si="8"/>
        <v>0</v>
      </c>
      <c r="L93" s="9"/>
      <c r="M93" s="9"/>
      <c r="N93" s="9"/>
    </row>
    <row r="94" spans="1:14" x14ac:dyDescent="0.2">
      <c r="A94" s="158">
        <v>1</v>
      </c>
      <c r="B94" s="107" t="s">
        <v>31</v>
      </c>
      <c r="C94" s="5">
        <f>SUMIFS(Physician_Visit_April,Physician_Visit_Practice,April!B94,Physician_Visit_Hospitalists, "&lt;&gt;"&amp;'Physician Types'!$D$81)+SUMIFS(Physician_Visit_April,Physician_Visit_Practice,April!B94,Physician_Visit_Hospitalists,'Physician Types'!$D$81)*INDEX(Physician_Type_Hospitalists_Visit_Minutes,MATCH(April!B94,Physician_Type_Practice,0))/INDEX(Physician_Type_Visit_Minutes,MATCH(April!B94,Physician_Type_Practice,0)) +SUMIF(Physician_Minutes_Practice,April!B94,Physician_Minutes_April)/INDEX(Physician_Type_Visit_Minutes,MATCH(April!B94,Physician_Type_Practice,0))</f>
        <v>0</v>
      </c>
      <c r="D94" s="43">
        <f t="shared" si="9"/>
        <v>0</v>
      </c>
      <c r="E94" s="17">
        <f>INDEX(Physician_Type_Bed_Rate,MATCH(April!B94,Physician_Type_Practice,0))*'Hospital Input Page'!$C$4</f>
        <v>1258.818528154138</v>
      </c>
      <c r="F94" s="9">
        <f t="shared" si="7"/>
        <v>0</v>
      </c>
      <c r="H94" s="5">
        <f t="array" ref="H94">SUMIFS(Physician_Visit_April, Physician_Visit_Practice, April!B94, Independent_Contractor_Visits,  'Physician Types'!$D$81) + SUMIFS(Physician_Minutes_April,Physician_Minutes_Practice,April!B94, Independent_Contractor_Minutes, 'Physician Types'!$D$81)/INDEX(Physician_Type_Visit_Minutes,MATCH(April!B94,Physician_Type_Practice,0))</f>
        <v>0</v>
      </c>
      <c r="I94" s="43">
        <f t="shared" si="10"/>
        <v>0</v>
      </c>
      <c r="J94" s="10">
        <f>E94*'Physician Types'!$E$4</f>
        <v>37.764555844624141</v>
      </c>
      <c r="K94" s="10">
        <f t="shared" si="8"/>
        <v>0</v>
      </c>
      <c r="L94" s="9"/>
      <c r="M94" s="9"/>
      <c r="N94" s="9"/>
    </row>
    <row r="95" spans="1:14" x14ac:dyDescent="0.2">
      <c r="A95" s="158">
        <v>2</v>
      </c>
      <c r="B95" s="107" t="s">
        <v>48</v>
      </c>
      <c r="C95" s="5">
        <f>SUMIFS(Physician_Visit_April,Physician_Visit_Practice,April!B95,Physician_Visit_Hospitalists, "&lt;&gt;"&amp;'Physician Types'!$D$81)+SUMIFS(Physician_Visit_April,Physician_Visit_Practice,April!B95,Physician_Visit_Hospitalists,'Physician Types'!$D$81)*INDEX(Physician_Type_Hospitalists_Visit_Minutes,MATCH(April!B95,Physician_Type_Practice,0))/INDEX(Physician_Type_Visit_Minutes,MATCH(April!B95,Physician_Type_Practice,0)) +SUMIF(Physician_Minutes_Practice,April!B95,Physician_Minutes_April)/INDEX(Physician_Type_Visit_Minutes,MATCH(April!B95,Physician_Type_Practice,0))</f>
        <v>0</v>
      </c>
      <c r="D95" s="43">
        <f t="shared" ref="D95" si="11">C95*INDEX(Physician_Type_Visit_Minutes,MATCH(B95,Physician_Type_Practice,0))/INDEX(Physician_Type_FTE_Minutes,MATCH(B95,Physician_Type_Practice,0))</f>
        <v>0</v>
      </c>
      <c r="E95" s="17">
        <f>INDEX(Physician_Type_Bed_Rate,MATCH(April!B95,Physician_Type_Practice,0))*'Hospital Input Page'!$C$4</f>
        <v>2336.1329894581445</v>
      </c>
      <c r="F95" s="9">
        <f t="shared" ref="F95" si="12">D95*E95</f>
        <v>0</v>
      </c>
      <c r="H95" s="5">
        <f t="array" ref="H95">SUMIFS(Physician_Visit_April, Physician_Visit_Practice, April!B95, Independent_Contractor_Visits,  'Physician Types'!$D$81) + SUMIFS(Physician_Minutes_April,Physician_Minutes_Practice,April!B95, Independent_Contractor_Minutes, 'Physician Types'!$D$81)/INDEX(Physician_Type_Visit_Minutes,MATCH(April!B95,Physician_Type_Practice,0))</f>
        <v>0</v>
      </c>
      <c r="I95" s="43">
        <f t="shared" ref="I95" si="13">H95*INDEX(Physician_Type_Visit_Minutes,MATCH(B95,Physician_Type_Practice,0))/INDEX(Physician_Type_FTE_Minutes,MATCH(B95,Physician_Type_Practice,0))</f>
        <v>0</v>
      </c>
      <c r="J95" s="10">
        <f>E95*'Physician Types'!$E$4</f>
        <v>70.083989683744335</v>
      </c>
      <c r="K95" s="10">
        <f t="shared" ref="K95" si="14">I95*J95</f>
        <v>0</v>
      </c>
      <c r="L95" s="9"/>
      <c r="M95" s="9"/>
      <c r="N95" s="9"/>
    </row>
    <row r="96" spans="1:14" x14ac:dyDescent="0.2">
      <c r="A96" s="158">
        <v>2</v>
      </c>
      <c r="B96" s="107" t="s">
        <v>49</v>
      </c>
      <c r="C96" s="5">
        <f>SUMIFS(Physician_Visit_April,Physician_Visit_Practice,April!B96,Physician_Visit_Hospitalists, "&lt;&gt;"&amp;'Physician Types'!$D$81)+SUMIFS(Physician_Visit_April,Physician_Visit_Practice,April!B96,Physician_Visit_Hospitalists,'Physician Types'!$D$81)*INDEX(Physician_Type_Hospitalists_Visit_Minutes,MATCH(April!B96,Physician_Type_Practice,0))/INDEX(Physician_Type_Visit_Minutes,MATCH(April!B96,Physician_Type_Practice,0)) +SUMIF(Physician_Minutes_Practice,April!B96,Physician_Minutes_April)/INDEX(Physician_Type_Visit_Minutes,MATCH(April!B96,Physician_Type_Practice,0))</f>
        <v>0</v>
      </c>
      <c r="D96" s="43">
        <f t="shared" si="9"/>
        <v>0</v>
      </c>
      <c r="E96" s="17">
        <f>INDEX(Physician_Type_Bed_Rate,MATCH(April!B96,Physician_Type_Practice,0))*'Hospital Input Page'!$C$4</f>
        <v>1727.2161200254454</v>
      </c>
      <c r="F96" s="9">
        <f t="shared" si="7"/>
        <v>0</v>
      </c>
      <c r="H96" s="5">
        <f t="array" ref="H96">SUMIFS(Physician_Visit_April, Physician_Visit_Practice, April!B96, Independent_Contractor_Visits,  'Physician Types'!$D$81) + SUMIFS(Physician_Minutes_April,Physician_Minutes_Practice,April!B96, Independent_Contractor_Minutes, 'Physician Types'!$D$81)/INDEX(Physician_Type_Visit_Minutes,MATCH(April!B96,Physician_Type_Practice,0))</f>
        <v>0</v>
      </c>
      <c r="I96" s="43">
        <f t="shared" si="10"/>
        <v>0</v>
      </c>
      <c r="J96" s="10">
        <f>E96*'Physician Types'!$E$4</f>
        <v>51.816483600763362</v>
      </c>
      <c r="K96" s="10">
        <f t="shared" si="8"/>
        <v>0</v>
      </c>
      <c r="L96" s="9"/>
      <c r="M96" s="9"/>
      <c r="N96" s="9"/>
    </row>
    <row r="97" spans="1:14" x14ac:dyDescent="0.2">
      <c r="A97" s="158">
        <v>1</v>
      </c>
      <c r="B97" s="107" t="s">
        <v>32</v>
      </c>
      <c r="C97" s="5">
        <f>SUMIFS(Physician_Visit_April,Physician_Visit_Practice,April!B97,Physician_Visit_Hospitalists, "&lt;&gt;"&amp;'Physician Types'!$D$81)+SUMIFS(Physician_Visit_April,Physician_Visit_Practice,April!B97,Physician_Visit_Hospitalists,'Physician Types'!$D$81)*INDEX(Physician_Type_Hospitalists_Visit_Minutes,MATCH(April!B97,Physician_Type_Practice,0))/INDEX(Physician_Type_Visit_Minutes,MATCH(April!B97,Physician_Type_Practice,0)) +SUMIF(Physician_Minutes_Practice,April!B97,Physician_Minutes_April)/INDEX(Physician_Type_Visit_Minutes,MATCH(April!B97,Physician_Type_Practice,0))</f>
        <v>0</v>
      </c>
      <c r="D97" s="43">
        <f t="shared" si="9"/>
        <v>0</v>
      </c>
      <c r="E97" s="17">
        <f>INDEX(Physician_Type_Bed_Rate,MATCH(April!B97,Physician_Type_Practice,0))*'Hospital Input Page'!$C$4</f>
        <v>1297.8516608100804</v>
      </c>
      <c r="F97" s="9">
        <f t="shared" si="7"/>
        <v>0</v>
      </c>
      <c r="H97" s="5">
        <f t="array" ref="H97">SUMIFS(Physician_Visit_April, Physician_Visit_Practice, April!B97, Independent_Contractor_Visits,  'Physician Types'!$D$81) + SUMIFS(Physician_Minutes_April,Physician_Minutes_Practice,April!B97, Independent_Contractor_Minutes, 'Physician Types'!$D$81)/INDEX(Physician_Type_Visit_Minutes,MATCH(April!B97,Physician_Type_Practice,0))</f>
        <v>0</v>
      </c>
      <c r="I97" s="43">
        <f t="shared" si="10"/>
        <v>0</v>
      </c>
      <c r="J97" s="10">
        <f>E97*'Physician Types'!$E$4</f>
        <v>38.935549824302413</v>
      </c>
      <c r="K97" s="10">
        <f t="shared" si="8"/>
        <v>0</v>
      </c>
      <c r="L97" s="9"/>
      <c r="M97" s="9"/>
      <c r="N97" s="9"/>
    </row>
    <row r="98" spans="1:14" x14ac:dyDescent="0.2">
      <c r="A98" s="158"/>
      <c r="B98" s="102" t="s">
        <v>20</v>
      </c>
      <c r="C98" s="5">
        <f>SUMIFS(Physician_Visit_April,Physician_Visit_Practice,April!B98,Physician_Visit_Hospitalists, "&lt;&gt;"&amp;'Physician Types'!$D$81)+SUMIFS(Physician_Visit_April,Physician_Visit_Practice,April!B98,Physician_Visit_Hospitalists,'Physician Types'!$D$81)*INDEX(Physician_Type_Hospitalists_Visit_Minutes,MATCH(April!B98,Physician_Type_Practice,0))/INDEX(Physician_Type_Visit_Minutes,MATCH(April!B98,Physician_Type_Practice,0)) +SUMIF(Physician_Minutes_Practice,April!B98,Physician_Minutes_April)/INDEX(Physician_Type_Visit_Minutes,MATCH(April!B98,Physician_Type_Practice,0))</f>
        <v>376</v>
      </c>
      <c r="D98" s="43">
        <f t="shared" si="9"/>
        <v>0.72309082866978203</v>
      </c>
      <c r="E98" s="17">
        <f>INDEX(Physician_Type_Bed_Rate,MATCH(April!B98,Physician_Type_Practice,0))*'Hospital Input Page'!$C$4</f>
        <v>493.76912809766964</v>
      </c>
      <c r="F98" s="9">
        <f t="shared" si="7"/>
        <v>357.0399280076997</v>
      </c>
      <c r="H98" s="5">
        <f t="array" ref="H98">SUMIFS(Physician_Visit_April, Physician_Visit_Practice, April!B98, Independent_Contractor_Visits,  'Physician Types'!$D$81) + SUMIFS(Physician_Minutes_April,Physician_Minutes_Practice,April!B98, Independent_Contractor_Minutes, 'Physician Types'!$D$81)/INDEX(Physician_Type_Visit_Minutes,MATCH(April!B98,Physician_Type_Practice,0))</f>
        <v>0</v>
      </c>
      <c r="I98" s="43">
        <f t="shared" si="10"/>
        <v>0</v>
      </c>
      <c r="J98" s="10">
        <f>E98*'Physician Types'!$E$4</f>
        <v>14.813073842930088</v>
      </c>
      <c r="K98" s="10">
        <f t="shared" si="8"/>
        <v>0</v>
      </c>
      <c r="L98" s="9"/>
      <c r="M98" s="9"/>
      <c r="N98" s="9"/>
    </row>
    <row r="99" spans="1:14" x14ac:dyDescent="0.2">
      <c r="A99" s="158">
        <v>1</v>
      </c>
      <c r="B99" s="107" t="s">
        <v>33</v>
      </c>
      <c r="C99" s="5">
        <f>SUMIFS(Physician_Visit_April,Physician_Visit_Practice,April!B99,Physician_Visit_Hospitalists, "&lt;&gt;"&amp;'Physician Types'!$D$81)+SUMIFS(Physician_Visit_April,Physician_Visit_Practice,April!B99,Physician_Visit_Hospitalists,'Physician Types'!$D$81)*INDEX(Physician_Type_Hospitalists_Visit_Minutes,MATCH(April!B99,Physician_Type_Practice,0))/INDEX(Physician_Type_Visit_Minutes,MATCH(April!B99,Physician_Type_Practice,0)) +SUMIF(Physician_Minutes_Practice,April!B99,Physician_Minutes_April)/INDEX(Physician_Type_Visit_Minutes,MATCH(April!B99,Physician_Type_Practice,0))</f>
        <v>0</v>
      </c>
      <c r="D99" s="43">
        <f t="shared" si="9"/>
        <v>0</v>
      </c>
      <c r="E99" s="17">
        <f>INDEX(Physician_Type_Bed_Rate,MATCH(April!B99,Physician_Type_Practice,0))*'Hospital Input Page'!$C$4</f>
        <v>1268.5768113181236</v>
      </c>
      <c r="F99" s="9">
        <f t="shared" si="7"/>
        <v>0</v>
      </c>
      <c r="H99" s="5">
        <f t="array" ref="H99">SUMIFS(Physician_Visit_April, Physician_Visit_Practice, April!B99, Independent_Contractor_Visits,  'Physician Types'!$D$81) + SUMIFS(Physician_Minutes_April,Physician_Minutes_Practice,April!B99, Independent_Contractor_Minutes, 'Physician Types'!$D$81)/INDEX(Physician_Type_Visit_Minutes,MATCH(April!B99,Physician_Type_Practice,0))</f>
        <v>0</v>
      </c>
      <c r="I99" s="43">
        <f t="shared" si="10"/>
        <v>0</v>
      </c>
      <c r="J99" s="10">
        <f>E99*'Physician Types'!$E$4</f>
        <v>38.057304339543705</v>
      </c>
      <c r="K99" s="10">
        <f t="shared" si="8"/>
        <v>0</v>
      </c>
      <c r="L99" s="9"/>
      <c r="M99" s="9"/>
      <c r="N99" s="9"/>
    </row>
    <row r="100" spans="1:14" x14ac:dyDescent="0.2">
      <c r="A100" s="158">
        <v>2</v>
      </c>
      <c r="B100" s="107" t="s">
        <v>50</v>
      </c>
      <c r="C100" s="5">
        <f>SUMIFS(Physician_Visit_April,Physician_Visit_Practice,April!B100,Physician_Visit_Hospitalists, "&lt;&gt;"&amp;'Physician Types'!$D$81)+SUMIFS(Physician_Visit_April,Physician_Visit_Practice,April!B100,Physician_Visit_Hospitalists,'Physician Types'!$D$81)*INDEX(Physician_Type_Hospitalists_Visit_Minutes,MATCH(April!B100,Physician_Type_Practice,0))/INDEX(Physician_Type_Visit_Minutes,MATCH(April!B100,Physician_Type_Practice,0)) +SUMIF(Physician_Minutes_Practice,April!B100,Physician_Minutes_April)/INDEX(Physician_Type_Visit_Minutes,MATCH(April!B100,Physician_Type_Practice,0))</f>
        <v>0</v>
      </c>
      <c r="D100" s="43">
        <f t="shared" si="9"/>
        <v>0</v>
      </c>
      <c r="E100" s="17">
        <f>INDEX(Physician_Type_Bed_Rate,MATCH(April!B100,Physician_Type_Practice,0))*'Hospital Input Page'!$C$4</f>
        <v>2529.3469961050587</v>
      </c>
      <c r="F100" s="9">
        <f t="shared" si="7"/>
        <v>0</v>
      </c>
      <c r="H100" s="5">
        <f t="array" ref="H100">SUMIFS(Physician_Visit_April, Physician_Visit_Practice, April!B100, Independent_Contractor_Visits,  'Physician Types'!$D$81) + SUMIFS(Physician_Minutes_April,Physician_Minutes_Practice,April!B100, Independent_Contractor_Minutes, 'Physician Types'!$D$81)/INDEX(Physician_Type_Visit_Minutes,MATCH(April!B100,Physician_Type_Practice,0))</f>
        <v>0</v>
      </c>
      <c r="I100" s="43">
        <f t="shared" si="10"/>
        <v>0</v>
      </c>
      <c r="J100" s="10">
        <f>E100*'Physician Types'!$E$4</f>
        <v>75.880409883151756</v>
      </c>
      <c r="K100" s="10">
        <f t="shared" si="8"/>
        <v>0</v>
      </c>
      <c r="L100" s="9"/>
      <c r="M100" s="9"/>
      <c r="N100" s="9"/>
    </row>
    <row r="101" spans="1:14" x14ac:dyDescent="0.2">
      <c r="A101" s="158">
        <v>2</v>
      </c>
      <c r="B101" s="107" t="s">
        <v>51</v>
      </c>
      <c r="C101" s="5">
        <f>SUMIFS(Physician_Visit_April,Physician_Visit_Practice,April!B101,Physician_Visit_Hospitalists, "&lt;&gt;"&amp;'Physician Types'!$D$81)+SUMIFS(Physician_Visit_April,Physician_Visit_Practice,April!B101,Physician_Visit_Hospitalists,'Physician Types'!$D$81)*INDEX(Physician_Type_Hospitalists_Visit_Minutes,MATCH(April!B101,Physician_Type_Practice,0))/INDEX(Physician_Type_Visit_Minutes,MATCH(April!B101,Physician_Type_Practice,0)) +SUMIF(Physician_Minutes_Practice,April!B101,Physician_Minutes_April)/INDEX(Physician_Type_Visit_Minutes,MATCH(April!B101,Physician_Type_Practice,0))</f>
        <v>0</v>
      </c>
      <c r="D101" s="43">
        <f t="shared" si="9"/>
        <v>0</v>
      </c>
      <c r="E101" s="17">
        <f>INDEX(Physician_Type_Bed_Rate,MATCH(April!B101,Physician_Type_Practice,0))*'Hospital Input Page'!$C$4</f>
        <v>1887.2519639148086</v>
      </c>
      <c r="F101" s="9">
        <f t="shared" si="7"/>
        <v>0</v>
      </c>
      <c r="H101" s="5">
        <f t="array" ref="H101">SUMIFS(Physician_Visit_April, Physician_Visit_Practice, April!B101, Independent_Contractor_Visits,  'Physician Types'!$D$81) + SUMIFS(Physician_Minutes_April,Physician_Minutes_Practice,April!B101, Independent_Contractor_Minutes, 'Physician Types'!$D$81)/INDEX(Physician_Type_Visit_Minutes,MATCH(April!B101,Physician_Type_Practice,0))</f>
        <v>0</v>
      </c>
      <c r="I101" s="43">
        <f t="shared" si="10"/>
        <v>0</v>
      </c>
      <c r="J101" s="10">
        <f>E101*'Physician Types'!$E$4</f>
        <v>56.617558917444256</v>
      </c>
      <c r="K101" s="10">
        <f t="shared" si="8"/>
        <v>0</v>
      </c>
      <c r="L101" s="9"/>
      <c r="M101" s="9"/>
      <c r="N101" s="9"/>
    </row>
    <row r="102" spans="1:14" x14ac:dyDescent="0.2">
      <c r="A102" s="158">
        <v>2</v>
      </c>
      <c r="B102" s="107" t="s">
        <v>52</v>
      </c>
      <c r="C102" s="5">
        <f>SUMIFS(Physician_Visit_April,Physician_Visit_Practice,April!B102,Physician_Visit_Hospitalists, "&lt;&gt;"&amp;'Physician Types'!$D$81)+SUMIFS(Physician_Visit_April,Physician_Visit_Practice,April!B102,Physician_Visit_Hospitalists,'Physician Types'!$D$81)*INDEX(Physician_Type_Hospitalists_Visit_Minutes,MATCH(April!B102,Physician_Type_Practice,0))/INDEX(Physician_Type_Visit_Minutes,MATCH(April!B102,Physician_Type_Practice,0)) +SUMIF(Physician_Minutes_Practice,April!B102,Physician_Minutes_April)/INDEX(Physician_Type_Visit_Minutes,MATCH(April!B102,Physician_Type_Practice,0))</f>
        <v>0</v>
      </c>
      <c r="D102" s="43">
        <f t="shared" si="9"/>
        <v>0</v>
      </c>
      <c r="E102" s="17">
        <f>INDEX(Physician_Type_Bed_Rate,MATCH(April!B102,Physician_Type_Practice,0))*'Hospital Input Page'!$C$4</f>
        <v>2088.2725970929114</v>
      </c>
      <c r="F102" s="9">
        <f t="shared" si="7"/>
        <v>0</v>
      </c>
      <c r="H102" s="5">
        <f t="array" ref="H102">SUMIFS(Physician_Visit_April, Physician_Visit_Practice, April!B102, Independent_Contractor_Visits,  'Physician Types'!$D$81) + SUMIFS(Physician_Minutes_April,Physician_Minutes_Practice,April!B102, Independent_Contractor_Minutes, 'Physician Types'!$D$81)/INDEX(Physician_Type_Visit_Minutes,MATCH(April!B102,Physician_Type_Practice,0))</f>
        <v>0</v>
      </c>
      <c r="I102" s="43">
        <f t="shared" si="10"/>
        <v>0</v>
      </c>
      <c r="J102" s="10">
        <f>E102*'Physician Types'!$E$4</f>
        <v>62.648177912787339</v>
      </c>
      <c r="K102" s="10">
        <f t="shared" si="8"/>
        <v>0</v>
      </c>
      <c r="L102" s="9"/>
      <c r="M102" s="9"/>
      <c r="N102" s="9"/>
    </row>
    <row r="103" spans="1:14" x14ac:dyDescent="0.2">
      <c r="A103" s="158">
        <v>4</v>
      </c>
      <c r="B103" s="107" t="s">
        <v>52</v>
      </c>
      <c r="C103" s="5">
        <f>SUMIFS(Physician_Visit_April,Physician_Visit_Practice,April!B103,Physician_Visit_Hospitalists, "&lt;&gt;"&amp;'Physician Types'!$D$81)+SUMIFS(Physician_Visit_April,Physician_Visit_Practice,April!B103,Physician_Visit_Hospitalists,'Physician Types'!$D$81)*INDEX(Physician_Type_Hospitalists_Visit_Minutes,MATCH(April!B103,Physician_Type_Practice,0))/INDEX(Physician_Type_Visit_Minutes,MATCH(April!B103,Physician_Type_Practice,0)) +SUMIF(Physician_Minutes_Practice,April!B103,Physician_Minutes_April)/INDEX(Physician_Type_Visit_Minutes,MATCH(April!B103,Physician_Type_Practice,0))</f>
        <v>0</v>
      </c>
      <c r="D103" s="43">
        <f t="shared" si="9"/>
        <v>0</v>
      </c>
      <c r="E103" s="17">
        <f>INDEX(Physician_Type_Bed_Rate,MATCH(April!B103,Physician_Type_Practice,0))*'Hospital Input Page'!$C$4</f>
        <v>2088.2725970929114</v>
      </c>
      <c r="F103" s="9">
        <f t="shared" si="7"/>
        <v>0</v>
      </c>
      <c r="H103" s="5">
        <f t="array" ref="H103">SUMIFS(Physician_Visit_April, Physician_Visit_Practice, April!B103, Independent_Contractor_Visits,  'Physician Types'!$D$81) + SUMIFS(Physician_Minutes_April,Physician_Minutes_Practice,April!B103, Independent_Contractor_Minutes, 'Physician Types'!$D$81)/INDEX(Physician_Type_Visit_Minutes,MATCH(April!B103,Physician_Type_Practice,0))</f>
        <v>0</v>
      </c>
      <c r="I103" s="43">
        <f t="shared" si="10"/>
        <v>0</v>
      </c>
      <c r="J103" s="10">
        <f>E103*'Physician Types'!$E$4</f>
        <v>62.648177912787339</v>
      </c>
      <c r="K103" s="10">
        <f t="shared" si="8"/>
        <v>0</v>
      </c>
      <c r="L103" s="9"/>
      <c r="M103" s="9"/>
      <c r="N103" s="9"/>
    </row>
    <row r="104" spans="1:14" x14ac:dyDescent="0.2">
      <c r="A104" s="158">
        <v>5</v>
      </c>
      <c r="B104" s="102" t="s">
        <v>68</v>
      </c>
      <c r="C104" s="5">
        <f>SUMIFS(Physician_Visit_April,Physician_Visit_Practice,April!B104,Physician_Visit_Hospitalists, "&lt;&gt;"&amp;'Physician Types'!$D$81)+SUMIFS(Physician_Visit_April,Physician_Visit_Practice,April!B104,Physician_Visit_Hospitalists,'Physician Types'!$D$81)*INDEX(Physician_Type_Hospitalists_Visit_Minutes,MATCH(April!B104,Physician_Type_Practice,0))/INDEX(Physician_Type_Visit_Minutes,MATCH(April!B104,Physician_Type_Practice,0)) +SUMIF(Physician_Minutes_Practice,April!B104,Physician_Minutes_April)/INDEX(Physician_Type_Visit_Minutes,MATCH(April!B104,Physician_Type_Practice,0))</f>
        <v>0</v>
      </c>
      <c r="D104" s="43">
        <f t="shared" si="9"/>
        <v>0</v>
      </c>
      <c r="E104" s="17">
        <f>INDEX(Physician_Type_Bed_Rate,MATCH(April!B104,Physician_Type_Practice,0))*'Hospital Input Page'!$C$4</f>
        <v>2708.8994063223927</v>
      </c>
      <c r="F104" s="9">
        <f t="shared" si="7"/>
        <v>0</v>
      </c>
      <c r="H104" s="5">
        <f t="array" ref="H104">SUMIFS(Physician_Visit_April, Physician_Visit_Practice, April!B104, Independent_Contractor_Visits,  'Physician Types'!$D$81) + SUMIFS(Physician_Minutes_April,Physician_Minutes_Practice,April!B104, Independent_Contractor_Minutes, 'Physician Types'!$D$81)/INDEX(Physician_Type_Visit_Minutes,MATCH(April!B104,Physician_Type_Practice,0))</f>
        <v>0</v>
      </c>
      <c r="I104" s="43">
        <f t="shared" si="10"/>
        <v>0</v>
      </c>
      <c r="J104" s="10">
        <f>E104*'Physician Types'!$E$4</f>
        <v>81.266982189671779</v>
      </c>
      <c r="K104" s="10">
        <f t="shared" si="8"/>
        <v>0</v>
      </c>
      <c r="L104" s="9"/>
      <c r="M104" s="9"/>
      <c r="N104" s="9"/>
    </row>
    <row r="105" spans="1:14" x14ac:dyDescent="0.2">
      <c r="A105" s="158">
        <v>2</v>
      </c>
      <c r="B105" s="107" t="s">
        <v>53</v>
      </c>
      <c r="C105" s="5">
        <f>SUMIFS(Physician_Visit_April,Physician_Visit_Practice,April!B105,Physician_Visit_Hospitalists, "&lt;&gt;"&amp;'Physician Types'!$D$81)+SUMIFS(Physician_Visit_April,Physician_Visit_Practice,April!B105,Physician_Visit_Hospitalists,'Physician Types'!$D$81)*INDEX(Physician_Type_Hospitalists_Visit_Minutes,MATCH(April!B105,Physician_Type_Practice,0))/INDEX(Physician_Type_Visit_Minutes,MATCH(April!B105,Physician_Type_Practice,0)) +SUMIF(Physician_Minutes_Practice,April!B105,Physician_Minutes_April)/INDEX(Physician_Type_Visit_Minutes,MATCH(April!B105,Physician_Type_Practice,0))</f>
        <v>0</v>
      </c>
      <c r="D105" s="43">
        <f t="shared" si="9"/>
        <v>0</v>
      </c>
      <c r="E105" s="17">
        <f>INDEX(Physician_Type_Bed_Rate,MATCH(April!B105,Physician_Type_Practice,0))*'Hospital Input Page'!$C$4</f>
        <v>1619.8750052216039</v>
      </c>
      <c r="F105" s="9">
        <f t="shared" si="7"/>
        <v>0</v>
      </c>
      <c r="H105" s="5">
        <f t="array" ref="H105">SUMIFS(Physician_Visit_April, Physician_Visit_Practice, April!B105, Independent_Contractor_Visits,  'Physician Types'!$D$81) + SUMIFS(Physician_Minutes_April,Physician_Minutes_Practice,April!B105, Independent_Contractor_Minutes, 'Physician Types'!$D$81)/INDEX(Physician_Type_Visit_Minutes,MATCH(April!B105,Physician_Type_Practice,0))</f>
        <v>0</v>
      </c>
      <c r="I105" s="43">
        <f t="shared" si="10"/>
        <v>0</v>
      </c>
      <c r="J105" s="10">
        <f>E105*'Physician Types'!$E$4</f>
        <v>48.596250156648118</v>
      </c>
      <c r="K105" s="10">
        <f t="shared" si="8"/>
        <v>0</v>
      </c>
      <c r="L105" s="9"/>
      <c r="M105" s="9"/>
      <c r="N105" s="9"/>
    </row>
    <row r="106" spans="1:14" x14ac:dyDescent="0.2">
      <c r="A106" s="158">
        <v>3</v>
      </c>
      <c r="B106" s="102" t="s">
        <v>59</v>
      </c>
      <c r="C106" s="5">
        <f>SUMIFS(Physician_Visit_April,Physician_Visit_Practice,April!B106,Physician_Visit_Hospitalists, "&lt;&gt;"&amp;'Physician Types'!$D$81)+SUMIFS(Physician_Visit_April,Physician_Visit_Practice,April!B106,Physician_Visit_Hospitalists,'Physician Types'!$D$81)*INDEX(Physician_Type_Hospitalists_Visit_Minutes,MATCH(April!B106,Physician_Type_Practice,0))/INDEX(Physician_Type_Visit_Minutes,MATCH(April!B106,Physician_Type_Practice,0)) +SUMIF(Physician_Minutes_Practice,April!B106,Physician_Minutes_April)/INDEX(Physician_Type_Visit_Minutes,MATCH(April!B106,Physician_Type_Practice,0))</f>
        <v>0</v>
      </c>
      <c r="D106" s="43">
        <f t="shared" si="9"/>
        <v>0</v>
      </c>
      <c r="E106" s="17">
        <f>INDEX(Physician_Type_Bed_Rate,MATCH(April!B106,Physician_Type_Practice,0))*'Hospital Input Page'!$C$4</f>
        <v>380.57304339543714</v>
      </c>
      <c r="F106" s="9">
        <f t="shared" si="7"/>
        <v>0</v>
      </c>
      <c r="H106" s="5">
        <f t="array" ref="H106">SUMIFS(Physician_Visit_April, Physician_Visit_Practice, April!B106, Independent_Contractor_Visits,  'Physician Types'!$D$81) + SUMIFS(Physician_Minutes_April,Physician_Minutes_Practice,April!B106, Independent_Contractor_Minutes, 'Physician Types'!$D$81)/INDEX(Physician_Type_Visit_Minutes,MATCH(April!B106,Physician_Type_Practice,0))</f>
        <v>0</v>
      </c>
      <c r="I106" s="43">
        <f t="shared" si="10"/>
        <v>0</v>
      </c>
      <c r="J106" s="10">
        <f>E106*'Physician Types'!$E$4</f>
        <v>11.417191301863113</v>
      </c>
      <c r="K106" s="10">
        <f t="shared" si="8"/>
        <v>0</v>
      </c>
      <c r="L106" s="9"/>
      <c r="M106" s="9"/>
      <c r="N106" s="9"/>
    </row>
    <row r="107" spans="1:14" x14ac:dyDescent="0.2">
      <c r="A107" s="158">
        <v>7</v>
      </c>
      <c r="B107" s="102" t="s">
        <v>75</v>
      </c>
      <c r="C107" s="5">
        <f>SUMIFS(Physician_Visit_April,Physician_Visit_Practice,April!B107,Physician_Visit_Hospitalists, "&lt;&gt;"&amp;'Physician Types'!$D$81)+SUMIFS(Physician_Visit_April,Physician_Visit_Practice,April!B107,Physician_Visit_Hospitalists,'Physician Types'!$D$81)*INDEX(Physician_Type_Hospitalists_Visit_Minutes,MATCH(April!B107,Physician_Type_Practice,0))/INDEX(Physician_Type_Visit_Minutes,MATCH(April!B107,Physician_Type_Practice,0)) +SUMIF(Physician_Minutes_Practice,April!B107,Physician_Minutes_April)/INDEX(Physician_Type_Visit_Minutes,MATCH(April!B107,Physician_Type_Practice,0))</f>
        <v>0</v>
      </c>
      <c r="D107" s="43">
        <f t="shared" si="9"/>
        <v>0</v>
      </c>
      <c r="E107" s="17">
        <f>INDEX(Physician_Type_Bed_Rate,MATCH(April!B107,Physician_Type_Practice,0))*'Hospital Input Page'!$C$4</f>
        <v>7974.4690016090053</v>
      </c>
      <c r="F107" s="9">
        <f t="shared" si="7"/>
        <v>0</v>
      </c>
      <c r="H107" s="5">
        <f t="array" ref="H107">SUMIFS(Physician_Visit_April, Physician_Visit_Practice, April!B107, Independent_Contractor_Visits,  'Physician Types'!$D$81) + SUMIFS(Physician_Minutes_April,Physician_Minutes_Practice,April!B107, Independent_Contractor_Minutes, 'Physician Types'!$D$81)/INDEX(Physician_Type_Visit_Minutes,MATCH(April!B107,Physician_Type_Practice,0))</f>
        <v>0</v>
      </c>
      <c r="I107" s="43">
        <f t="shared" si="10"/>
        <v>0</v>
      </c>
      <c r="J107" s="10">
        <f>E107*'Physician Types'!$E$4</f>
        <v>239.23407004827015</v>
      </c>
      <c r="K107" s="10">
        <f t="shared" si="8"/>
        <v>0</v>
      </c>
      <c r="L107" s="9"/>
      <c r="M107" s="9"/>
      <c r="N107" s="9"/>
    </row>
    <row r="108" spans="1:14" x14ac:dyDescent="0.2">
      <c r="A108" s="158">
        <v>4</v>
      </c>
      <c r="B108" s="128" t="s">
        <v>140</v>
      </c>
      <c r="C108" s="5">
        <f>SUMIFS(Physician_Visit_April,Physician_Visit_Practice,April!B108,Physician_Visit_Hospitalists, "&lt;&gt;"&amp;'Physician Types'!$D$81)+SUMIFS(Physician_Visit_April,Physician_Visit_Practice,April!B108,Physician_Visit_Hospitalists,'Physician Types'!$D$81)*INDEX(Physician_Type_Hospitalists_Visit_Minutes,MATCH(April!B108,Physician_Type_Practice,0))/INDEX(Physician_Type_Visit_Minutes,MATCH(April!B108,Physician_Type_Practice,0)) +SUMIF(Physician_Minutes_Practice,April!B108,Physician_Minutes_April)/INDEX(Physician_Type_Visit_Minutes,MATCH(April!B108,Physician_Type_Practice,0))</f>
        <v>0</v>
      </c>
      <c r="D108" s="43">
        <f t="shared" si="9"/>
        <v>0</v>
      </c>
      <c r="E108" s="17">
        <f>INDEX(Physician_Type_Bed_Rate,MATCH(April!B108,Physician_Type_Practice,0))*'Hospital Input Page'!$C$4</f>
        <v>3159.7320884985265</v>
      </c>
      <c r="F108" s="9">
        <f t="shared" si="7"/>
        <v>0</v>
      </c>
      <c r="H108" s="5">
        <f t="array" ref="H108">SUMIFS(Physician_Visit_April, Physician_Visit_Practice, April!B108, Independent_Contractor_Visits,  'Physician Types'!$D$81) + SUMIFS(Physician_Minutes_April,Physician_Minutes_Practice,April!B108, Independent_Contractor_Minutes, 'Physician Types'!$D$81)/INDEX(Physician_Type_Visit_Minutes,MATCH(April!B108,Physician_Type_Practice,0))</f>
        <v>0</v>
      </c>
      <c r="I108" s="43">
        <f t="shared" si="10"/>
        <v>0</v>
      </c>
      <c r="J108" s="10">
        <f>E108*'Physician Types'!$E$4</f>
        <v>94.791962654955796</v>
      </c>
      <c r="K108" s="10">
        <f t="shared" si="8"/>
        <v>0</v>
      </c>
      <c r="L108" s="9"/>
      <c r="M108" s="9"/>
      <c r="N108" s="9"/>
    </row>
    <row r="109" spans="1:14" x14ac:dyDescent="0.2">
      <c r="A109" s="158">
        <v>7</v>
      </c>
      <c r="B109" s="102" t="s">
        <v>76</v>
      </c>
      <c r="C109" s="5">
        <f>SUMIFS(Physician_Visit_April,Physician_Visit_Practice,April!B109,Physician_Visit_Hospitalists, "&lt;&gt;"&amp;'Physician Types'!$D$81)+SUMIFS(Physician_Visit_April,Physician_Visit_Practice,April!B109,Physician_Visit_Hospitalists,'Physician Types'!$D$81)*INDEX(Physician_Type_Hospitalists_Visit_Minutes,MATCH(April!B109,Physician_Type_Practice,0))/INDEX(Physician_Type_Visit_Minutes,MATCH(April!B109,Physician_Type_Practice,0)) +SUMIF(Physician_Minutes_Practice,April!B109,Physician_Minutes_April)/INDEX(Physician_Type_Visit_Minutes,MATCH(April!B109,Physician_Type_Practice,0))</f>
        <v>0</v>
      </c>
      <c r="D109" s="43">
        <f t="shared" si="9"/>
        <v>0</v>
      </c>
      <c r="E109" s="17">
        <f>INDEX(Physician_Type_Bed_Rate,MATCH(April!B109,Physician_Type_Practice,0))*'Hospital Input Page'!$C$4</f>
        <v>7709.0436995485979</v>
      </c>
      <c r="F109" s="9">
        <f t="shared" si="7"/>
        <v>0</v>
      </c>
      <c r="H109" s="5">
        <f t="array" ref="H109">SUMIFS(Physician_Visit_April, Physician_Visit_Practice, April!B109, Independent_Contractor_Visits,  'Physician Types'!$D$81) + SUMIFS(Physician_Minutes_April,Physician_Minutes_Practice,April!B109, Independent_Contractor_Minutes, 'Physician Types'!$D$81)/INDEX(Physician_Type_Visit_Minutes,MATCH(April!B109,Physician_Type_Practice,0))</f>
        <v>0</v>
      </c>
      <c r="I109" s="43">
        <f t="shared" si="10"/>
        <v>0</v>
      </c>
      <c r="J109" s="10">
        <f>E109*'Physician Types'!$E$4</f>
        <v>231.27131098645793</v>
      </c>
      <c r="K109" s="10">
        <f t="shared" si="8"/>
        <v>0</v>
      </c>
      <c r="L109" s="9"/>
      <c r="M109" s="9"/>
      <c r="N109" s="9"/>
    </row>
    <row r="110" spans="1:14" x14ac:dyDescent="0.2">
      <c r="A110" s="102"/>
      <c r="B110" s="164" t="s">
        <v>156</v>
      </c>
      <c r="C110" s="5" t="e">
        <f>SUMIFS(Physician_Visit_April,Physician_Visit_Practice,April!B110,Physician_Visit_Hospitalists, "&lt;&gt;"&amp;'Physician Types'!$D$81)+SUMIFS(Physician_Visit_April,Physician_Visit_Practice,April!B110,Physician_Visit_Hospitalists,'Physician Types'!$D$81)*INDEX(Physician_Type_Hospitalists_Visit_Minutes,MATCH(April!B110,Physician_Type_Practice,0))/INDEX(Physician_Type_Visit_Minutes,MATCH(April!B110,Physician_Type_Practice,0)) +SUMIF(Physician_Minutes_Practice,April!B110,Physician_Minutes_April)/INDEX(Physician_Type_Visit_Minutes,MATCH(April!B110,Physician_Type_Practice,0))</f>
        <v>#REF!</v>
      </c>
      <c r="D110" s="43" t="e">
        <f t="shared" si="9"/>
        <v>#REF!</v>
      </c>
      <c r="E110" s="17" t="e">
        <f>INDEX(Physician_Type_Bed_Rate,MATCH(April!B110,Physician_Type_Practice,0))*'Hospital Input Page'!$C$4</f>
        <v>#REF!</v>
      </c>
      <c r="F110" s="9" t="e">
        <f t="shared" si="7"/>
        <v>#REF!</v>
      </c>
      <c r="H110" s="5" t="e">
        <f t="array" ref="H110">SUMIFS(Physician_Visit_April, Physician_Visit_Practice, April!B110, Independent_Contractor_Visits,  'Physician Types'!$D$81) + SUMIFS(Physician_Minutes_April,Physician_Minutes_Practice,April!B110, Independent_Contractor_Minutes, 'Physician Types'!$D$81)/INDEX(Physician_Type_Visit_Minutes,MATCH(April!B110,Physician_Type_Practice,0))</f>
        <v>#REF!</v>
      </c>
      <c r="I110" s="43" t="e">
        <f t="shared" si="10"/>
        <v>#REF!</v>
      </c>
      <c r="J110" s="10" t="e">
        <f>E110*'Physician Types'!$E$4</f>
        <v>#REF!</v>
      </c>
      <c r="K110" s="10" t="e">
        <f t="shared" si="8"/>
        <v>#REF!</v>
      </c>
      <c r="L110" s="9"/>
      <c r="M110" s="9"/>
      <c r="N110" s="9"/>
    </row>
    <row r="111" spans="1:14" x14ac:dyDescent="0.2">
      <c r="A111" s="102"/>
      <c r="B111" s="164" t="s">
        <v>156</v>
      </c>
      <c r="C111" s="5" t="e">
        <f>SUMIFS(Physician_Visit_April,Physician_Visit_Practice,April!B111,Physician_Visit_Hospitalists, "&lt;&gt;"&amp;'Physician Types'!$D$81)+SUMIFS(Physician_Visit_April,Physician_Visit_Practice,April!B111,Physician_Visit_Hospitalists,'Physician Types'!$D$81)*INDEX(Physician_Type_Hospitalists_Visit_Minutes,MATCH(April!B111,Physician_Type_Practice,0))/INDEX(Physician_Type_Visit_Minutes,MATCH(April!B111,Physician_Type_Practice,0)) +SUMIF(Physician_Minutes_Practice,April!B111,Physician_Minutes_April)/INDEX(Physician_Type_Visit_Minutes,MATCH(April!B111,Physician_Type_Practice,0))</f>
        <v>#REF!</v>
      </c>
      <c r="D111" s="43" t="e">
        <f t="shared" ref="D111:D112" si="15">C111*INDEX(Physician_Type_Visit_Minutes,MATCH(B111,Physician_Type_Practice,0))/INDEX(Physician_Type_FTE_Minutes,MATCH(B111,Physician_Type_Practice,0))</f>
        <v>#REF!</v>
      </c>
      <c r="E111" s="17" t="e">
        <f>INDEX(Physician_Type_Bed_Rate,MATCH(April!B111,Physician_Type_Practice,0))*'Hospital Input Page'!$C$4</f>
        <v>#REF!</v>
      </c>
      <c r="F111" s="9" t="e">
        <f t="shared" si="7"/>
        <v>#REF!</v>
      </c>
      <c r="H111" s="5" t="e">
        <f t="array" ref="H111">SUMIFS(Physician_Visit_April, Physician_Visit_Practice, April!B111, Independent_Contractor_Visits,  'Physician Types'!$D$81) + SUMIFS(Physician_Minutes_April,Physician_Minutes_Practice,April!B111, Independent_Contractor_Minutes, 'Physician Types'!$D$81)/INDEX(Physician_Type_Visit_Minutes,MATCH(April!B111,Physician_Type_Practice,0))</f>
        <v>#REF!</v>
      </c>
      <c r="I111" s="43" t="e">
        <f t="shared" ref="I111:I112" si="16">H111*INDEX(Physician_Type_Visit_Minutes,MATCH(B111,Physician_Type_Practice,0))/INDEX(Physician_Type_FTE_Minutes,MATCH(B111,Physician_Type_Practice,0))</f>
        <v>#REF!</v>
      </c>
      <c r="J111" s="10" t="e">
        <f>E111*'Physician Types'!$E$4</f>
        <v>#REF!</v>
      </c>
      <c r="K111" s="10" t="e">
        <f t="shared" si="8"/>
        <v>#REF!</v>
      </c>
      <c r="L111" s="9"/>
      <c r="M111" s="9"/>
      <c r="N111" s="9"/>
    </row>
    <row r="112" spans="1:14" x14ac:dyDescent="0.2">
      <c r="A112" s="102"/>
      <c r="B112" s="164" t="s">
        <v>156</v>
      </c>
      <c r="C112" s="5" t="e">
        <f>SUMIFS(Physician_Visit_April,Physician_Visit_Practice,April!B112,Physician_Visit_Hospitalists, "&lt;&gt;"&amp;'Physician Types'!$D$81)+SUMIFS(Physician_Visit_April,Physician_Visit_Practice,April!B112,Physician_Visit_Hospitalists,'Physician Types'!$D$81)*INDEX(Physician_Type_Hospitalists_Visit_Minutes,MATCH(April!B112,Physician_Type_Practice,0))/INDEX(Physician_Type_Visit_Minutes,MATCH(April!B112,Physician_Type_Practice,0)) +SUMIF(Physician_Minutes_Practice,April!B112,Physician_Minutes_April)/INDEX(Physician_Type_Visit_Minutes,MATCH(April!B112,Physician_Type_Practice,0))</f>
        <v>#REF!</v>
      </c>
      <c r="D112" s="43" t="e">
        <f t="shared" si="15"/>
        <v>#REF!</v>
      </c>
      <c r="E112" s="17" t="e">
        <f>INDEX(Physician_Type_Bed_Rate,MATCH(April!B112,Physician_Type_Practice,0))*'Hospital Input Page'!$C$4</f>
        <v>#REF!</v>
      </c>
      <c r="F112" s="9" t="e">
        <f t="shared" ref="F112" si="17">D112*E112</f>
        <v>#REF!</v>
      </c>
      <c r="H112" s="5" t="e">
        <f t="array" ref="H112">SUMIFS(Physician_Visit_April, Physician_Visit_Practice, April!B112, Independent_Contractor_Visits,  'Physician Types'!$D$81) + SUMIFS(Physician_Minutes_April,Physician_Minutes_Practice,April!B112, Independent_Contractor_Minutes, 'Physician Types'!$D$81)/INDEX(Physician_Type_Visit_Minutes,MATCH(April!B112,Physician_Type_Practice,0))</f>
        <v>#REF!</v>
      </c>
      <c r="I112" s="43" t="e">
        <f t="shared" si="16"/>
        <v>#REF!</v>
      </c>
      <c r="J112" s="10" t="e">
        <f>E112*'Physician Types'!$E$4</f>
        <v>#REF!</v>
      </c>
      <c r="K112" s="10" t="e">
        <f t="shared" ref="K112" si="18">I112*J112</f>
        <v>#REF!</v>
      </c>
      <c r="L112" s="9"/>
      <c r="M112" s="9"/>
      <c r="N112" s="9"/>
    </row>
    <row r="113" spans="1:14" x14ac:dyDescent="0.2">
      <c r="A113" s="102"/>
      <c r="B113" s="164" t="s">
        <v>156</v>
      </c>
      <c r="C113" s="5" t="e">
        <f>SUMIFS(Physician_Visit_April,Physician_Visit_Practice,April!B113,Physician_Visit_Hospitalists, "&lt;&gt;"&amp;'Physician Types'!$D$81)+SUMIFS(Physician_Visit_April,Physician_Visit_Practice,April!B113,Physician_Visit_Hospitalists,'Physician Types'!$D$81)*INDEX(Physician_Type_Hospitalists_Visit_Minutes,MATCH(April!B113,Physician_Type_Practice,0))/INDEX(Physician_Type_Visit_Minutes,MATCH(April!B113,Physician_Type_Practice,0)) +SUMIF(Physician_Minutes_Practice,April!B113,Physician_Minutes_April)/INDEX(Physician_Type_Visit_Minutes,MATCH(April!B113,Physician_Type_Practice,0))</f>
        <v>#REF!</v>
      </c>
      <c r="D113" s="43" t="e">
        <f t="shared" ref="D113:D116" si="19">C113*INDEX(Physician_Type_Visit_Minutes,MATCH(B113,Physician_Type_Practice,0))/INDEX(Physician_Type_FTE_Minutes,MATCH(B113,Physician_Type_Practice,0))</f>
        <v>#REF!</v>
      </c>
      <c r="E113" s="17" t="e">
        <f>INDEX(Physician_Type_Bed_Rate,MATCH(April!B113,Physician_Type_Practice,0))*'Hospital Input Page'!$C$4</f>
        <v>#REF!</v>
      </c>
      <c r="F113" s="9" t="e">
        <f t="shared" ref="F113:F116" si="20">D113*E113</f>
        <v>#REF!</v>
      </c>
      <c r="H113" s="5" t="e">
        <f t="array" ref="H113">SUMIFS(Physician_Visit_April, Physician_Visit_Practice, April!B113, Independent_Contractor_Visits,  'Physician Types'!$D$81) + SUMIFS(Physician_Minutes_April,Physician_Minutes_Practice,April!B113, Independent_Contractor_Minutes, 'Physician Types'!$D$81)/INDEX(Physician_Type_Visit_Minutes,MATCH(April!B113,Physician_Type_Practice,0))</f>
        <v>#REF!</v>
      </c>
      <c r="I113" s="43" t="e">
        <f t="shared" ref="I113:I116" si="21">H113*INDEX(Physician_Type_Visit_Minutes,MATCH(B113,Physician_Type_Practice,0))/INDEX(Physician_Type_FTE_Minutes,MATCH(B113,Physician_Type_Practice,0))</f>
        <v>#REF!</v>
      </c>
      <c r="J113" s="10" t="e">
        <f>E113*'Physician Types'!$E$4</f>
        <v>#REF!</v>
      </c>
      <c r="K113" s="10" t="e">
        <f t="shared" ref="K113:K116" si="22">I113*J113</f>
        <v>#REF!</v>
      </c>
      <c r="L113" s="9"/>
      <c r="M113" s="9"/>
      <c r="N113" s="9"/>
    </row>
    <row r="114" spans="1:14" x14ac:dyDescent="0.2">
      <c r="A114" s="102"/>
      <c r="B114" s="164" t="s">
        <v>156</v>
      </c>
      <c r="C114" s="5" t="e">
        <f>SUMIFS(Physician_Visit_April,Physician_Visit_Practice,April!B114,Physician_Visit_Hospitalists, "&lt;&gt;"&amp;'Physician Types'!$D$81)+SUMIFS(Physician_Visit_April,Physician_Visit_Practice,April!B114,Physician_Visit_Hospitalists,'Physician Types'!$D$81)*INDEX(Physician_Type_Hospitalists_Visit_Minutes,MATCH(April!B114,Physician_Type_Practice,0))/INDEX(Physician_Type_Visit_Minutes,MATCH(April!B114,Physician_Type_Practice,0)) +SUMIF(Physician_Minutes_Practice,April!B114,Physician_Minutes_April)/INDEX(Physician_Type_Visit_Minutes,MATCH(April!B114,Physician_Type_Practice,0))</f>
        <v>#REF!</v>
      </c>
      <c r="D114" s="43" t="e">
        <f t="shared" si="19"/>
        <v>#REF!</v>
      </c>
      <c r="E114" s="17" t="e">
        <f>INDEX(Physician_Type_Bed_Rate,MATCH(April!B114,Physician_Type_Practice,0))*'Hospital Input Page'!$C$4</f>
        <v>#REF!</v>
      </c>
      <c r="F114" s="9" t="e">
        <f t="shared" si="20"/>
        <v>#REF!</v>
      </c>
      <c r="H114" s="5" t="e">
        <f t="array" ref="H114">SUMIFS(Physician_Visit_April, Physician_Visit_Practice, April!B114, Independent_Contractor_Visits,  'Physician Types'!$D$81) + SUMIFS(Physician_Minutes_April,Physician_Minutes_Practice,April!B114, Independent_Contractor_Minutes, 'Physician Types'!$D$81)/INDEX(Physician_Type_Visit_Minutes,MATCH(April!B114,Physician_Type_Practice,0))</f>
        <v>#REF!</v>
      </c>
      <c r="I114" s="43" t="e">
        <f t="shared" si="21"/>
        <v>#REF!</v>
      </c>
      <c r="J114" s="10" t="e">
        <f>E114*'Physician Types'!$E$4</f>
        <v>#REF!</v>
      </c>
      <c r="K114" s="10" t="e">
        <f t="shared" si="22"/>
        <v>#REF!</v>
      </c>
      <c r="L114" s="9"/>
      <c r="M114" s="9"/>
      <c r="N114" s="9"/>
    </row>
    <row r="115" spans="1:14" x14ac:dyDescent="0.2">
      <c r="A115" s="102"/>
      <c r="B115" s="164" t="s">
        <v>156</v>
      </c>
      <c r="C115" s="5" t="e">
        <f>SUMIFS(Physician_Visit_April,Physician_Visit_Practice,April!B115,Physician_Visit_Hospitalists, "&lt;&gt;"&amp;'Physician Types'!$D$81)+SUMIFS(Physician_Visit_April,Physician_Visit_Practice,April!B115,Physician_Visit_Hospitalists,'Physician Types'!$D$81)*INDEX(Physician_Type_Hospitalists_Visit_Minutes,MATCH(April!B115,Physician_Type_Practice,0))/INDEX(Physician_Type_Visit_Minutes,MATCH(April!B115,Physician_Type_Practice,0)) +SUMIF(Physician_Minutes_Practice,April!B115,Physician_Minutes_April)/INDEX(Physician_Type_Visit_Minutes,MATCH(April!B115,Physician_Type_Practice,0))</f>
        <v>#REF!</v>
      </c>
      <c r="D115" s="43" t="e">
        <f t="shared" si="19"/>
        <v>#REF!</v>
      </c>
      <c r="E115" s="17" t="e">
        <f>INDEX(Physician_Type_Bed_Rate,MATCH(April!B115,Physician_Type_Practice,0))*'Hospital Input Page'!$C$4</f>
        <v>#REF!</v>
      </c>
      <c r="F115" s="9" t="e">
        <f t="shared" si="20"/>
        <v>#REF!</v>
      </c>
      <c r="H115" s="5" t="e">
        <f t="array" ref="H115">SUMIFS(Physician_Visit_April, Physician_Visit_Practice, April!B115, Independent_Contractor_Visits,  'Physician Types'!$D$81) + SUMIFS(Physician_Minutes_April,Physician_Minutes_Practice,April!B115, Independent_Contractor_Minutes, 'Physician Types'!$D$81)/INDEX(Physician_Type_Visit_Minutes,MATCH(April!B115,Physician_Type_Practice,0))</f>
        <v>#REF!</v>
      </c>
      <c r="I115" s="43" t="e">
        <f t="shared" si="21"/>
        <v>#REF!</v>
      </c>
      <c r="J115" s="10" t="e">
        <f>E115*'Physician Types'!$E$4</f>
        <v>#REF!</v>
      </c>
      <c r="K115" s="10" t="e">
        <f t="shared" si="22"/>
        <v>#REF!</v>
      </c>
    </row>
    <row r="116" spans="1:14" x14ac:dyDescent="0.2">
      <c r="A116" s="102"/>
      <c r="B116" s="164" t="s">
        <v>156</v>
      </c>
      <c r="C116" s="5" t="e">
        <f>SUMIFS(Physician_Visit_April,Physician_Visit_Practice,April!B116,Physician_Visit_Hospitalists, "&lt;&gt;"&amp;'Physician Types'!$D$81)+SUMIFS(Physician_Visit_April,Physician_Visit_Practice,April!B116,Physician_Visit_Hospitalists,'Physician Types'!$D$81)*INDEX(Physician_Type_Hospitalists_Visit_Minutes,MATCH(April!B116,Physician_Type_Practice,0))/INDEX(Physician_Type_Visit_Minutes,MATCH(April!B116,Physician_Type_Practice,0)) +SUMIF(Physician_Minutes_Practice,April!B116,Physician_Minutes_April)/INDEX(Physician_Type_Visit_Minutes,MATCH(April!B116,Physician_Type_Practice,0))</f>
        <v>#REF!</v>
      </c>
      <c r="D116" s="43" t="e">
        <f t="shared" si="19"/>
        <v>#REF!</v>
      </c>
      <c r="E116" s="17" t="e">
        <f>INDEX(Physician_Type_Bed_Rate,MATCH(April!B116,Physician_Type_Practice,0))*'Hospital Input Page'!$C$4</f>
        <v>#REF!</v>
      </c>
      <c r="F116" s="9" t="e">
        <f t="shared" si="20"/>
        <v>#REF!</v>
      </c>
      <c r="H116" s="5" t="e">
        <f t="array" ref="H116">SUMIFS(Physician_Visit_April, Physician_Visit_Practice, April!B116, Independent_Contractor_Visits,  'Physician Types'!$D$81) + SUMIFS(Physician_Minutes_April,Physician_Minutes_Practice,April!B116, Independent_Contractor_Minutes, 'Physician Types'!$D$81)/INDEX(Physician_Type_Visit_Minutes,MATCH(April!B116,Physician_Type_Practice,0))</f>
        <v>#REF!</v>
      </c>
      <c r="I116" s="43" t="e">
        <f t="shared" si="21"/>
        <v>#REF!</v>
      </c>
      <c r="J116" s="10" t="e">
        <f>E116*'Physician Types'!$E$4</f>
        <v>#REF!</v>
      </c>
      <c r="K116" s="10" t="e">
        <f t="shared" si="22"/>
        <v>#REF!</v>
      </c>
    </row>
    <row r="119" spans="1:14" x14ac:dyDescent="0.2">
      <c r="B119" s="46" t="s">
        <v>106</v>
      </c>
      <c r="C119" s="149"/>
      <c r="D119" s="150"/>
      <c r="E119" s="151"/>
      <c r="F119" s="48">
        <f>SUMIF(F46:F116,"&lt;&gt;#REF!",F46:F116)</f>
        <v>2249.8415549246774</v>
      </c>
      <c r="G119" s="46"/>
      <c r="H119" s="46"/>
      <c r="I119" s="46"/>
      <c r="J119" s="46"/>
      <c r="K119" s="48">
        <f>SUMIF(K46:K116,"&lt;&gt;#REF!",K46:K116)</f>
        <v>0</v>
      </c>
    </row>
  </sheetData>
  <sheetProtection algorithmName="SHA-512" hashValue="5vkoysnMfGXuUOQElvJgO7GWqCDBs0bpyPg9/DDYbiaIl4wpEm/70+zhh19HTZRwmngPtBAKj+rEIMxqLLHw3A==" saltValue="6W6ei9f4sMtec27992SKEw==" spinCount="100000" sheet="1" objects="1" scenarios="1"/>
  <sortState xmlns:xlrd2="http://schemas.microsoft.com/office/spreadsheetml/2017/richdata2" ref="I46:N111">
    <sortCondition ref="I46"/>
  </sortState>
  <customSheetViews>
    <customSheetView guid="{4B7E793F-FF7C-4BA4-8EC7-9B719AA3D607}" fitToPage="1">
      <selection activeCell="B7" sqref="B7:C7"/>
      <pageMargins left="0.5" right="0.5" top="0.5" bottom="0.5" header="0.5" footer="0.5"/>
      <printOptions gridLines="1"/>
      <pageSetup scale="97" orientation="portrait" r:id="rId1"/>
      <headerFooter alignWithMargins="0"/>
    </customSheetView>
  </customSheetViews>
  <phoneticPr fontId="8" type="noConversion"/>
  <printOptions headings="1"/>
  <pageMargins left="0.5" right="0.5" top="0.5" bottom="0.5" header="0.5" footer="0.5"/>
  <pageSetup scale="94" orientation="portrait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K119"/>
  <sheetViews>
    <sheetView zoomScaleNormal="100" workbookViewId="0">
      <selection activeCell="F10" sqref="F10"/>
    </sheetView>
  </sheetViews>
  <sheetFormatPr defaultRowHeight="12.75" x14ac:dyDescent="0.2"/>
  <cols>
    <col min="1" max="1" width="3.7109375" customWidth="1"/>
    <col min="2" max="2" width="52.42578125" customWidth="1"/>
    <col min="3" max="3" width="11.7109375" customWidth="1"/>
    <col min="4" max="4" width="10.42578125" style="8" customWidth="1"/>
    <col min="5" max="5" width="9.140625" style="6" bestFit="1" customWidth="1"/>
    <col min="6" max="6" width="12.85546875" customWidth="1"/>
    <col min="8" max="8" width="14" customWidth="1"/>
    <col min="11" max="11" width="11.42578125" customWidth="1"/>
  </cols>
  <sheetData>
    <row r="1" spans="1:8" ht="15.75" x14ac:dyDescent="0.25">
      <c r="A1" s="18" t="str">
        <f>'Hospital Input Page'!A1</f>
        <v>Grover Dils</v>
      </c>
      <c r="B1" s="19"/>
      <c r="C1" s="18" t="s">
        <v>104</v>
      </c>
      <c r="D1" s="196">
        <f>'Hospital Input Page'!L6</f>
        <v>2020</v>
      </c>
      <c r="E1" s="19"/>
    </row>
    <row r="2" spans="1:8" ht="15.75" x14ac:dyDescent="0.25">
      <c r="A2" s="18" t="str">
        <f>'Hospital Input Page'!A2</f>
        <v>LiCON MONTHLY REPORT FORM (MRF)</v>
      </c>
      <c r="B2" s="19"/>
      <c r="C2" s="19"/>
      <c r="D2" s="20"/>
      <c r="E2" s="19"/>
    </row>
    <row r="3" spans="1:8" ht="15.75" customHeight="1" x14ac:dyDescent="0.25">
      <c r="A3" s="18"/>
      <c r="B3" s="21"/>
      <c r="D3" s="20"/>
      <c r="E3" s="22"/>
      <c r="F3" s="38"/>
    </row>
    <row r="5" spans="1:8" ht="15.75" x14ac:dyDescent="0.25">
      <c r="B5" s="21" t="s">
        <v>24</v>
      </c>
      <c r="C5" s="168">
        <f>F39</f>
        <v>4186.1559193573303</v>
      </c>
      <c r="E5"/>
    </row>
    <row r="6" spans="1:8" x14ac:dyDescent="0.2">
      <c r="C6" s="2"/>
    </row>
    <row r="7" spans="1:8" x14ac:dyDescent="0.2">
      <c r="B7" s="58" t="str">
        <f>'Hospital Input Page'!$B$5</f>
        <v>Deductible</v>
      </c>
      <c r="C7" s="58">
        <f>'Hospital Input Page'!$C$5</f>
        <v>10000</v>
      </c>
    </row>
    <row r="8" spans="1:8" x14ac:dyDescent="0.2">
      <c r="B8" s="1"/>
      <c r="C8" s="3"/>
    </row>
    <row r="9" spans="1:8" ht="13.5" thickBot="1" x14ac:dyDescent="0.25">
      <c r="A9" s="4"/>
      <c r="B9" s="23" t="s">
        <v>0</v>
      </c>
      <c r="C9" s="23" t="s">
        <v>1</v>
      </c>
      <c r="D9" s="24" t="s">
        <v>27</v>
      </c>
      <c r="E9" s="25"/>
      <c r="F9" s="49" t="s">
        <v>111</v>
      </c>
    </row>
    <row r="10" spans="1:8" ht="12.95" customHeight="1" x14ac:dyDescent="0.2">
      <c r="A10" s="29">
        <v>1</v>
      </c>
      <c r="B10" s="113" t="s">
        <v>2</v>
      </c>
      <c r="C10" s="5">
        <f>INDEX(Hospital_Exposure_May, MATCH(May!B10,Hospital_Exposure_Name,0))</f>
        <v>1.07</v>
      </c>
      <c r="D10" s="17">
        <f>INDEX(Hospital_Exposure_Rate,MATCH(May!B10,Hospital_Exposure_Name,0))</f>
        <v>527.69012023747894</v>
      </c>
      <c r="E10" s="28" t="s">
        <v>21</v>
      </c>
      <c r="F10" s="50">
        <f t="shared" ref="F10:F15" si="0">C10*D10</f>
        <v>564.62842865410255</v>
      </c>
    </row>
    <row r="11" spans="1:8" ht="12.95" customHeight="1" x14ac:dyDescent="0.2">
      <c r="A11" s="29">
        <f>A10+1</f>
        <v>2</v>
      </c>
      <c r="B11" s="118" t="s">
        <v>3</v>
      </c>
      <c r="C11" s="5">
        <f>INDEX(Hospital_Exposure_May, MATCH(May!B11,Hospital_Exposure_Name,0))</f>
        <v>0</v>
      </c>
      <c r="D11" s="17">
        <f>INDEX(Hospital_Exposure_Rate,MATCH(May!B11,Hospital_Exposure_Name,0))</f>
        <v>527.69012023747894</v>
      </c>
      <c r="E11" s="28" t="s">
        <v>21</v>
      </c>
      <c r="F11" s="50">
        <f t="shared" si="0"/>
        <v>0</v>
      </c>
    </row>
    <row r="12" spans="1:8" ht="12.95" customHeight="1" x14ac:dyDescent="0.2">
      <c r="A12" s="29">
        <f t="shared" ref="A12:A35" si="1">A11+1</f>
        <v>3</v>
      </c>
      <c r="B12" s="118" t="s">
        <v>4</v>
      </c>
      <c r="C12" s="5">
        <f>INDEX(Hospital_Exposure_May, MATCH(May!B12,Hospital_Exposure_Name,0))</f>
        <v>14.42</v>
      </c>
      <c r="D12" s="17">
        <f>INDEX(Hospital_Exposure_Rate,MATCH(May!B12,Hospital_Exposure_Name,0))</f>
        <v>63.322814428497473</v>
      </c>
      <c r="E12" s="28" t="s">
        <v>21</v>
      </c>
      <c r="F12" s="50">
        <f t="shared" si="0"/>
        <v>913.1149840589336</v>
      </c>
    </row>
    <row r="13" spans="1:8" ht="12.95" customHeight="1" x14ac:dyDescent="0.2">
      <c r="A13" s="29">
        <f t="shared" si="1"/>
        <v>4</v>
      </c>
      <c r="B13" s="118" t="s">
        <v>5</v>
      </c>
      <c r="C13" s="5">
        <f>INDEX(Hospital_Exposure_May, MATCH(May!B13,Hospital_Exposure_Name,0))</f>
        <v>0</v>
      </c>
      <c r="D13" s="17">
        <f>INDEX(Hospital_Exposure_Rate,MATCH(May!B13,Hospital_Exposure_Name,0))</f>
        <v>369.38308416623522</v>
      </c>
      <c r="E13" s="28" t="s">
        <v>21</v>
      </c>
      <c r="F13" s="50">
        <f t="shared" si="0"/>
        <v>0</v>
      </c>
    </row>
    <row r="14" spans="1:8" ht="12.95" customHeight="1" x14ac:dyDescent="0.2">
      <c r="A14" s="29">
        <f t="shared" si="1"/>
        <v>5</v>
      </c>
      <c r="B14" s="118" t="s">
        <v>6</v>
      </c>
      <c r="C14" s="5">
        <f>INDEX(Hospital_Exposure_May, MATCH(May!B14,Hospital_Exposure_Name,0))</f>
        <v>0</v>
      </c>
      <c r="D14" s="17">
        <f>INDEX(Hospital_Exposure_Rate,MATCH(May!B14,Hospital_Exposure_Name,0))</f>
        <v>237.988244227103</v>
      </c>
      <c r="E14" s="28" t="s">
        <v>21</v>
      </c>
      <c r="F14" s="50">
        <f t="shared" si="0"/>
        <v>0</v>
      </c>
    </row>
    <row r="15" spans="1:8" ht="12.95" customHeight="1" x14ac:dyDescent="0.2">
      <c r="A15" s="29">
        <f t="shared" si="1"/>
        <v>6</v>
      </c>
      <c r="B15" s="118" t="s">
        <v>7</v>
      </c>
      <c r="C15" s="5">
        <f>INDEX(Hospital_Exposure_May, MATCH(May!B15,Hospital_Exposure_Name,0))</f>
        <v>0</v>
      </c>
      <c r="D15" s="17">
        <f>INDEX(Hospital_Exposure_Rate,MATCH(May!B15,Hospital_Exposure_Name,0))</f>
        <v>184.69154208311761</v>
      </c>
      <c r="E15" s="28" t="s">
        <v>21</v>
      </c>
      <c r="F15" s="50">
        <f t="shared" si="0"/>
        <v>0</v>
      </c>
    </row>
    <row r="16" spans="1:8" ht="12.95" customHeight="1" x14ac:dyDescent="0.2">
      <c r="A16" s="29">
        <f t="shared" si="1"/>
        <v>7</v>
      </c>
      <c r="B16" s="122" t="s">
        <v>114</v>
      </c>
      <c r="C16" s="5">
        <f>INDEX(Hospital_Exposure_May, MATCH(May!B16,Hospital_Exposure_Name,0))</f>
        <v>83</v>
      </c>
      <c r="D16" s="17">
        <f>INDEX(Hospital_Exposure_Rate,MATCH(May!B16,Hospital_Exposure_Name,0))</f>
        <v>89.707320440371419</v>
      </c>
      <c r="E16" s="28" t="s">
        <v>22</v>
      </c>
      <c r="F16" s="50">
        <f>C16*D16/100</f>
        <v>74.457075965508281</v>
      </c>
      <c r="H16" s="31"/>
    </row>
    <row r="17" spans="1:8" ht="12.95" customHeight="1" x14ac:dyDescent="0.2">
      <c r="A17" s="29">
        <f t="shared" si="1"/>
        <v>8</v>
      </c>
      <c r="B17" s="122" t="s">
        <v>115</v>
      </c>
      <c r="C17" s="5">
        <f>INDEX(Hospital_Exposure_May, MATCH(May!B17,Hospital_Exposure_Name,0))</f>
        <v>965</v>
      </c>
      <c r="D17" s="17">
        <f>INDEX(Hospital_Exposure_Rate,MATCH(May!B17,Hospital_Exposure_Name,0))</f>
        <v>21.107604809499158</v>
      </c>
      <c r="E17" s="28" t="s">
        <v>22</v>
      </c>
      <c r="F17" s="50">
        <f>C17*D17/100</f>
        <v>203.68838641166687</v>
      </c>
      <c r="H17" s="31"/>
    </row>
    <row r="18" spans="1:8" ht="12.95" customHeight="1" x14ac:dyDescent="0.2">
      <c r="A18" s="29">
        <f t="shared" si="1"/>
        <v>9</v>
      </c>
      <c r="B18" s="122" t="s">
        <v>116</v>
      </c>
      <c r="C18" s="5">
        <f>INDEX(Hospital_Exposure_May, MATCH(May!B18,Hospital_Exposure_Name,0))</f>
        <v>0</v>
      </c>
      <c r="D18" s="17">
        <f>INDEX(Hospital_Exposure_Rate,MATCH(May!B18,Hospital_Exposure_Name,0))</f>
        <v>1.1609182645224538</v>
      </c>
      <c r="E18" s="28" t="s">
        <v>22</v>
      </c>
      <c r="F18" s="50">
        <f>C18*D18/100</f>
        <v>0</v>
      </c>
    </row>
    <row r="19" spans="1:8" ht="12.95" customHeight="1" x14ac:dyDescent="0.2">
      <c r="A19" s="29">
        <f t="shared" si="1"/>
        <v>10</v>
      </c>
      <c r="B19" s="118" t="s">
        <v>8</v>
      </c>
      <c r="C19" s="5">
        <f>INDEX(Hospital_Exposure_May, MATCH(May!B19,Hospital_Exposure_Name,0))</f>
        <v>0</v>
      </c>
      <c r="D19" s="17">
        <f>INDEX(Hospital_Exposure_Rate,MATCH(May!B19,Hospital_Exposure_Name,0))</f>
        <v>26.384506011873949</v>
      </c>
      <c r="E19" s="28" t="s">
        <v>23</v>
      </c>
      <c r="F19" s="50">
        <f>C19*D19</f>
        <v>0</v>
      </c>
    </row>
    <row r="20" spans="1:8" ht="12.95" customHeight="1" x14ac:dyDescent="0.2">
      <c r="A20" s="29">
        <f t="shared" si="1"/>
        <v>11</v>
      </c>
      <c r="B20" s="118" t="s">
        <v>9</v>
      </c>
      <c r="C20" s="5">
        <f>INDEX(Hospital_Exposure_May, MATCH(May!B20,Hospital_Exposure_Name,0))</f>
        <v>0</v>
      </c>
      <c r="D20" s="17">
        <f>INDEX(Hospital_Exposure_Rate,MATCH(May!B20,Hospital_Exposure_Name,0))</f>
        <v>10.553802404749579</v>
      </c>
      <c r="E20" s="28" t="s">
        <v>23</v>
      </c>
      <c r="F20" s="50">
        <f>C20*D20</f>
        <v>0</v>
      </c>
    </row>
    <row r="21" spans="1:8" ht="12.95" customHeight="1" x14ac:dyDescent="0.2">
      <c r="A21" s="29">
        <f t="shared" si="1"/>
        <v>12</v>
      </c>
      <c r="B21" s="118" t="s">
        <v>10</v>
      </c>
      <c r="C21" s="5">
        <f>INDEX(Hospital_Exposure_May, MATCH(May!B21,Hospital_Exposure_Name,0))</f>
        <v>0</v>
      </c>
      <c r="D21" s="17">
        <f>INDEX(Hospital_Exposure_Rate,MATCH(May!B21,Hospital_Exposure_Name,0))</f>
        <v>79.153518035621843</v>
      </c>
      <c r="E21" s="28" t="s">
        <v>23</v>
      </c>
      <c r="F21" s="50">
        <f t="shared" ref="F21:F23" si="2">C21*D21</f>
        <v>0</v>
      </c>
    </row>
    <row r="22" spans="1:8" ht="12.95" customHeight="1" x14ac:dyDescent="0.2">
      <c r="A22" s="29">
        <f t="shared" si="1"/>
        <v>13</v>
      </c>
      <c r="B22" s="118" t="s">
        <v>11</v>
      </c>
      <c r="C22" s="5">
        <f>INDEX(Hospital_Exposure_May, MATCH(May!B22,Hospital_Exposure_Name,0))</f>
        <v>0</v>
      </c>
      <c r="D22" s="17">
        <f>INDEX(Hospital_Exposure_Rate,MATCH(May!B22,Hospital_Exposure_Name,0))</f>
        <v>79.153518035621843</v>
      </c>
      <c r="E22" s="28" t="s">
        <v>23</v>
      </c>
      <c r="F22" s="50">
        <f t="shared" si="2"/>
        <v>0</v>
      </c>
    </row>
    <row r="23" spans="1:8" ht="12.95" customHeight="1" x14ac:dyDescent="0.2">
      <c r="A23" s="29">
        <f t="shared" si="1"/>
        <v>14</v>
      </c>
      <c r="B23" s="122" t="s">
        <v>117</v>
      </c>
      <c r="C23" s="5">
        <f>INDEX(Hospital_Exposure_May, MATCH(May!B23,Hospital_Exposure_Name,0))</f>
        <v>0</v>
      </c>
      <c r="D23" s="17">
        <f>INDEX(Hospital_Exposure_Rate,MATCH(May!B23,Hospital_Exposure_Name,0))</f>
        <v>341.38512486587695</v>
      </c>
      <c r="E23" s="28" t="s">
        <v>23</v>
      </c>
      <c r="F23" s="50">
        <f t="shared" si="2"/>
        <v>0</v>
      </c>
    </row>
    <row r="24" spans="1:8" ht="12.95" customHeight="1" x14ac:dyDescent="0.2">
      <c r="A24" s="29">
        <f t="shared" si="1"/>
        <v>15</v>
      </c>
      <c r="B24" s="74" t="s">
        <v>136</v>
      </c>
      <c r="C24" s="5">
        <f>INDEX($C$47:$C$113,MATCH(B24,$B$47:$B$113,0))</f>
        <v>83</v>
      </c>
      <c r="D24" s="5">
        <f>INDEX($E$47:$E$113,MATCH(B24,$B$47:$B$113,0))</f>
        <v>1727.2161200254454</v>
      </c>
      <c r="E24" s="28" t="s">
        <v>22</v>
      </c>
      <c r="F24" s="50">
        <f>SUMIF(B46:B112,B24,F46:F112)+SUMIF(B46:B112,B54,K46:K112)</f>
        <v>1433.5893796211196</v>
      </c>
    </row>
    <row r="25" spans="1:8" ht="12.95" customHeight="1" x14ac:dyDescent="0.2">
      <c r="A25" s="29">
        <f t="shared" si="1"/>
        <v>16</v>
      </c>
      <c r="B25" s="4" t="s">
        <v>12</v>
      </c>
      <c r="C25" s="5">
        <f>SUMIF($A$47:$A$113, 1,$D$47:$D$113)</f>
        <v>0</v>
      </c>
      <c r="D25" s="5">
        <f>IFERROR(F25/C25,0)</f>
        <v>0</v>
      </c>
      <c r="E25" s="28" t="s">
        <v>23</v>
      </c>
      <c r="F25" s="51">
        <f>SUMIF($A$46:$A$112, 1,$F$46:$F$112) + SUMIF($A$46:$A$112, 1,$K$46:$K$112)</f>
        <v>0</v>
      </c>
    </row>
    <row r="26" spans="1:8" ht="12.95" customHeight="1" x14ac:dyDescent="0.2">
      <c r="A26" s="29">
        <f t="shared" si="1"/>
        <v>17</v>
      </c>
      <c r="B26" s="4" t="s">
        <v>13</v>
      </c>
      <c r="C26" s="5">
        <f>SUMIF($A$47:$A$113, 2,$D$47:$D$113)</f>
        <v>0</v>
      </c>
      <c r="D26" s="5">
        <f t="shared" ref="D26:D35" si="3">IFERROR(F26/C26,0)</f>
        <v>0</v>
      </c>
      <c r="E26" s="28" t="s">
        <v>23</v>
      </c>
      <c r="F26" s="51">
        <f>SUMIF($A$46:$A$112, 2,$F$46:$F$112) + SUMIF($A$46:$A$112, 2,$K$46:$K$112)</f>
        <v>0</v>
      </c>
    </row>
    <row r="27" spans="1:8" ht="12.95" customHeight="1" x14ac:dyDescent="0.2">
      <c r="A27" s="29">
        <f t="shared" si="1"/>
        <v>18</v>
      </c>
      <c r="B27" s="4" t="s">
        <v>14</v>
      </c>
      <c r="C27" s="5">
        <f>SUMIF($A$47:$A$113, 3,$D$47:$D$113)</f>
        <v>0.34039116136848779</v>
      </c>
      <c r="D27" s="5">
        <f t="shared" si="3"/>
        <v>1951.6566327971132</v>
      </c>
      <c r="E27" s="28" t="s">
        <v>23</v>
      </c>
      <c r="F27" s="51">
        <f>SUMIF($A$46:$A$112, 3,$F$46:$F$112) + SUMIF($A$46:$A$112, 3,$K$46:$K$112)</f>
        <v>664.32666783032164</v>
      </c>
    </row>
    <row r="28" spans="1:8" ht="12.95" customHeight="1" x14ac:dyDescent="0.2">
      <c r="A28" s="29">
        <f t="shared" si="1"/>
        <v>19</v>
      </c>
      <c r="B28" s="4" t="s">
        <v>15</v>
      </c>
      <c r="C28" s="5">
        <f>SUMIF($A$47:$A$113, 4,$D$47:$D$113)</f>
        <v>0</v>
      </c>
      <c r="D28" s="5">
        <f t="shared" si="3"/>
        <v>0</v>
      </c>
      <c r="E28" s="28" t="s">
        <v>23</v>
      </c>
      <c r="F28" s="51">
        <f>SUMIF($A$46:$A$112, 4,$F$46:$F$112) + SUMIF($A$46:$A$112, 4,$K$46:$K$112)</f>
        <v>0</v>
      </c>
    </row>
    <row r="29" spans="1:8" ht="12.95" customHeight="1" x14ac:dyDescent="0.2">
      <c r="A29" s="29">
        <f t="shared" si="1"/>
        <v>20</v>
      </c>
      <c r="B29" s="4" t="s">
        <v>16</v>
      </c>
      <c r="C29" s="5">
        <f>SUMIF($A$47:$A$113, 5,$D$47:$D$113)</f>
        <v>0</v>
      </c>
      <c r="D29" s="5">
        <f t="shared" si="3"/>
        <v>0</v>
      </c>
      <c r="E29" s="28" t="s">
        <v>23</v>
      </c>
      <c r="F29" s="51">
        <f>SUMIF($A$46:$A$112, 5,$F$46:$F$112) + SUMIF($A$46:$A$112, 5,$K$46:$K$112)</f>
        <v>0</v>
      </c>
    </row>
    <row r="30" spans="1:8" ht="12.95" customHeight="1" x14ac:dyDescent="0.2">
      <c r="A30" s="29">
        <f t="shared" si="1"/>
        <v>21</v>
      </c>
      <c r="B30" s="4" t="s">
        <v>17</v>
      </c>
      <c r="C30" s="5">
        <f>SUMIF($A$47:$A$113, 6,$D$47:$D$113)</f>
        <v>0</v>
      </c>
      <c r="D30" s="5">
        <f t="shared" si="3"/>
        <v>0</v>
      </c>
      <c r="E30" s="28" t="s">
        <v>23</v>
      </c>
      <c r="F30" s="51">
        <f>SUMIF($A$46:$A$112, 6,$F$46:$F$112) + SUMIF($A$46:$A$112, 6,$K$46:$K$112)</f>
        <v>0</v>
      </c>
    </row>
    <row r="31" spans="1:8" ht="12.95" customHeight="1" x14ac:dyDescent="0.2">
      <c r="A31" s="29">
        <f t="shared" si="1"/>
        <v>22</v>
      </c>
      <c r="B31" s="4" t="s">
        <v>18</v>
      </c>
      <c r="C31" s="5">
        <f>SUMIF($A$47:$A$113, 7,$D$47:$D$113)</f>
        <v>0</v>
      </c>
      <c r="D31" s="5">
        <f t="shared" si="3"/>
        <v>0</v>
      </c>
      <c r="E31" s="28" t="s">
        <v>23</v>
      </c>
      <c r="F31" s="51">
        <f>SUMIF($A$46:$A$112, 7,$F$46:$F$112) + SUMIF($A$46:$A$112, 7,$K$46:$K$112)</f>
        <v>0</v>
      </c>
    </row>
    <row r="32" spans="1:8" ht="12.95" customHeight="1" x14ac:dyDescent="0.2">
      <c r="A32" s="29">
        <f t="shared" si="1"/>
        <v>23</v>
      </c>
      <c r="B32" s="4" t="s">
        <v>19</v>
      </c>
      <c r="C32" s="5">
        <f>SUMIF($A$47:$A$113, 8,$D$47:$D$113)</f>
        <v>0</v>
      </c>
      <c r="D32" s="5">
        <f t="shared" si="3"/>
        <v>0</v>
      </c>
      <c r="E32" s="28" t="s">
        <v>23</v>
      </c>
      <c r="F32" s="51">
        <f>SUMIF($A$46:$A$112, 8,$F$46:$F$112) + SUMIF($A$46:$A$112, 8,$K$46:$K$112)</f>
        <v>0</v>
      </c>
    </row>
    <row r="33" spans="1:11" ht="12.95" customHeight="1" x14ac:dyDescent="0.2">
      <c r="A33" s="29">
        <f t="shared" si="1"/>
        <v>24</v>
      </c>
      <c r="B33" t="s">
        <v>79</v>
      </c>
      <c r="C33" s="5">
        <f>SUMIF($B$47:$B$113, B33,$D$47:$D$113)</f>
        <v>0</v>
      </c>
      <c r="D33" s="5">
        <f t="shared" si="3"/>
        <v>0</v>
      </c>
      <c r="E33" s="28" t="s">
        <v>23</v>
      </c>
      <c r="F33" s="51">
        <f>SUMIF($B$46:$B$112, B33,$F$46:$F$112) + SUMIF($B$46:$B$112, B33,$K$46:$K$112)</f>
        <v>0</v>
      </c>
    </row>
    <row r="34" spans="1:11" ht="12.95" customHeight="1" x14ac:dyDescent="0.2">
      <c r="A34" s="29">
        <f t="shared" si="1"/>
        <v>25</v>
      </c>
      <c r="B34" t="s">
        <v>20</v>
      </c>
      <c r="C34" s="5">
        <f>SUMIF($B$47:$B$113, B34,$D$47:$D$113)</f>
        <v>0.67308986711282903</v>
      </c>
      <c r="D34" s="5">
        <f t="shared" si="3"/>
        <v>493.76912809766958</v>
      </c>
      <c r="E34" s="28" t="s">
        <v>23</v>
      </c>
      <c r="F34" s="51">
        <f t="shared" ref="F34:F35" si="4">SUMIF($B$46:$B$112, B34,$F$46:$F$112) + SUMIF($B$46:$B$112, B34,$K$46:$K$112)</f>
        <v>332.35099681567789</v>
      </c>
    </row>
    <row r="35" spans="1:11" ht="12.95" customHeight="1" x14ac:dyDescent="0.2">
      <c r="A35" s="29">
        <f t="shared" si="1"/>
        <v>26</v>
      </c>
      <c r="B35" t="s">
        <v>80</v>
      </c>
      <c r="C35" s="5">
        <f>SUMIF($B$47:$B$113, B35,$D$47:$D$113)</f>
        <v>0</v>
      </c>
      <c r="D35" s="5">
        <f t="shared" si="3"/>
        <v>0</v>
      </c>
      <c r="E35" s="28" t="s">
        <v>23</v>
      </c>
      <c r="F35" s="51">
        <f t="shared" si="4"/>
        <v>0</v>
      </c>
    </row>
    <row r="36" spans="1:11" x14ac:dyDescent="0.2">
      <c r="F36" s="50"/>
    </row>
    <row r="37" spans="1:11" x14ac:dyDescent="0.2">
      <c r="F37" s="50"/>
    </row>
    <row r="38" spans="1:11" x14ac:dyDescent="0.2">
      <c r="B38" s="4"/>
      <c r="C38" s="5"/>
      <c r="D38" s="17"/>
      <c r="E38" s="7"/>
      <c r="F38" s="52"/>
    </row>
    <row r="39" spans="1:11" x14ac:dyDescent="0.2">
      <c r="A39" s="31"/>
      <c r="B39" s="53" t="s">
        <v>84</v>
      </c>
      <c r="C39" s="46"/>
      <c r="D39" s="54"/>
      <c r="E39" s="55"/>
      <c r="F39" s="169">
        <f>SUM(F10:F35)</f>
        <v>4186.1559193573303</v>
      </c>
    </row>
    <row r="40" spans="1:11" x14ac:dyDescent="0.2">
      <c r="A40" s="31"/>
      <c r="B40" s="34"/>
      <c r="C40" s="31"/>
      <c r="D40" s="35"/>
      <c r="E40" s="36"/>
      <c r="F40" s="16"/>
    </row>
    <row r="41" spans="1:11" x14ac:dyDescent="0.2">
      <c r="F41" s="10"/>
    </row>
    <row r="42" spans="1:11" x14ac:dyDescent="0.2">
      <c r="F42" s="10"/>
      <c r="H42" s="45" t="s">
        <v>148</v>
      </c>
      <c r="I42" s="45"/>
      <c r="J42" s="45"/>
      <c r="K42" s="45"/>
    </row>
    <row r="43" spans="1:11" ht="25.5" x14ac:dyDescent="0.2">
      <c r="A43" s="23" t="s">
        <v>85</v>
      </c>
      <c r="B43" s="41" t="s">
        <v>86</v>
      </c>
      <c r="C43" s="46" t="s">
        <v>81</v>
      </c>
      <c r="D43" s="47" t="s">
        <v>82</v>
      </c>
      <c r="E43" s="24" t="s">
        <v>27</v>
      </c>
      <c r="F43" s="23" t="s">
        <v>26</v>
      </c>
      <c r="H43" s="44" t="s">
        <v>143</v>
      </c>
      <c r="I43" s="47" t="s">
        <v>82</v>
      </c>
      <c r="J43" s="24" t="s">
        <v>27</v>
      </c>
      <c r="K43" s="23" t="s">
        <v>149</v>
      </c>
    </row>
    <row r="44" spans="1:11" x14ac:dyDescent="0.2">
      <c r="E44" s="8"/>
    </row>
    <row r="45" spans="1:11" x14ac:dyDescent="0.2">
      <c r="E45" s="8"/>
    </row>
    <row r="46" spans="1:11" x14ac:dyDescent="0.2">
      <c r="A46" s="158">
        <v>1</v>
      </c>
      <c r="B46" s="107" t="s">
        <v>28</v>
      </c>
      <c r="C46" s="5">
        <f>SUMIFS(Physician_Visit_May,Physician_Visit_Practice,May!B46,Physician_Visit_Hospitalists, "&lt;&gt;"&amp;'Physician Types'!$D$81)+SUMIFS(Physician_Visit_May,Physician_Visit_Practice,May!B46,Physician_Visit_Hospitalists,'Physician Types'!$D$81)*INDEX(Physician_Type_Hospitalists_Visit_Minutes,MATCH(May!B46,Physician_Type_Practice,0))/INDEX(Physician_Type_Visit_Minutes,MATCH(May!B46,Physician_Type_Practice,0)) +SUMIF(Physician_Minutes_Practice,May!B46,Physician_Minutes_May)/INDEX(Physician_Type_Visit_Minutes,MATCH(May!B46,Physician_Type_Practice,0))</f>
        <v>0</v>
      </c>
      <c r="D46" s="43">
        <f t="shared" ref="D46:D77" si="5">C46*INDEX(Physician_Type_Visit_Minutes,MATCH(B46,Physician_Type_Practice,0))/INDEX(Physician_Type_FTE_Minutes,MATCH(B46,Physician_Type_Practice,0))</f>
        <v>0</v>
      </c>
      <c r="E46" s="17">
        <f>INDEX(Physician_Type_Bed_Rate,MATCH(May!B46,Physician_Type_Practice,0))*'Hospital Input Page'!$C$4</f>
        <v>925.08524394583173</v>
      </c>
      <c r="F46" s="9">
        <f>D46*E46</f>
        <v>0</v>
      </c>
      <c r="H46" s="5">
        <f t="array" ref="H46">SUMIFS(Physician_Visit_May, Physician_Visit_Practice, May!B46, Independent_Contractor_Visits,  'Physician Types'!$D$81) + SUMIFS(Physician_Minutes_May,Physician_Minutes_Practice,May!B46, Independent_Contractor_Minutes, 'Physician Types'!$D$81)/INDEX(Physician_Type_Visit_Minutes,MATCH(May!B46,Physician_Type_Practice,0))</f>
        <v>0</v>
      </c>
      <c r="I46" s="43">
        <f t="shared" ref="I46:I77" si="6">H46*INDEX(Physician_Type_Visit_Minutes,MATCH(B46,Physician_Type_Practice,0))/INDEX(Physician_Type_FTE_Minutes,MATCH(B46,Physician_Type_Practice,0))</f>
        <v>0</v>
      </c>
      <c r="J46" s="10">
        <f>E46*'Physician Types'!$E$4</f>
        <v>27.752557318374951</v>
      </c>
      <c r="K46" s="10">
        <f>I46*J46</f>
        <v>0</v>
      </c>
    </row>
    <row r="47" spans="1:11" x14ac:dyDescent="0.2">
      <c r="A47" s="158">
        <v>1</v>
      </c>
      <c r="B47" s="107" t="s">
        <v>29</v>
      </c>
      <c r="C47" s="5">
        <f>SUMIFS(Physician_Visit_May,Physician_Visit_Practice,May!B47,Physician_Visit_Hospitalists, "&lt;&gt;"&amp;'Physician Types'!$D$81)+SUMIFS(Physician_Visit_May,Physician_Visit_Practice,May!B47,Physician_Visit_Hospitalists,'Physician Types'!$D$81)*INDEX(Physician_Type_Hospitalists_Visit_Minutes,MATCH(May!B47,Physician_Type_Practice,0))/INDEX(Physician_Type_Visit_Minutes,MATCH(May!B47,Physician_Type_Practice,0)) +SUMIF(Physician_Minutes_Practice,May!B47,Physician_Minutes_May)/INDEX(Physician_Type_Visit_Minutes,MATCH(May!B47,Physician_Type_Practice,0))</f>
        <v>0</v>
      </c>
      <c r="D47" s="43">
        <f t="shared" si="5"/>
        <v>0</v>
      </c>
      <c r="E47" s="17">
        <f>INDEX(Physician_Type_Bed_Rate,MATCH(May!B47,Physician_Type_Practice,0))*'Hospital Input Page'!$C$4</f>
        <v>993.39322609373073</v>
      </c>
      <c r="F47" s="9">
        <f t="shared" ref="F47:F111" si="7">D47*E47</f>
        <v>0</v>
      </c>
      <c r="H47" s="5">
        <f t="array" ref="H47">SUMIFS(Physician_Visit_May, Physician_Visit_Practice, May!B47, Independent_Contractor_Visits,  'Physician Types'!$D$81) + SUMIFS(Physician_Minutes_May,Physician_Minutes_Practice,May!B47, Independent_Contractor_Minutes, 'Physician Types'!$D$81)/INDEX(Physician_Type_Visit_Minutes,MATCH(May!B47,Physician_Type_Practice,0))</f>
        <v>0</v>
      </c>
      <c r="I47" s="43">
        <f t="shared" si="6"/>
        <v>0</v>
      </c>
      <c r="J47" s="10">
        <f>E47*'Physician Types'!$E$4</f>
        <v>29.80179678281192</v>
      </c>
      <c r="K47" s="10">
        <f t="shared" ref="K47:K111" si="8">I47*J47</f>
        <v>0</v>
      </c>
    </row>
    <row r="48" spans="1:11" x14ac:dyDescent="0.2">
      <c r="A48" s="158">
        <v>4</v>
      </c>
      <c r="B48" s="102" t="s">
        <v>60</v>
      </c>
      <c r="C48" s="5">
        <f>SUMIFS(Physician_Visit_May,Physician_Visit_Practice,May!B48,Physician_Visit_Hospitalists, "&lt;&gt;"&amp;'Physician Types'!$D$81)+SUMIFS(Physician_Visit_May,Physician_Visit_Practice,May!B48,Physician_Visit_Hospitalists,'Physician Types'!$D$81)*INDEX(Physician_Type_Hospitalists_Visit_Minutes,MATCH(May!B48,Physician_Type_Practice,0))/INDEX(Physician_Type_Visit_Minutes,MATCH(May!B48,Physician_Type_Practice,0)) +SUMIF(Physician_Minutes_Practice,May!B48,Physician_Minutes_May)/INDEX(Physician_Type_Visit_Minutes,MATCH(May!B48,Physician_Type_Practice,0))</f>
        <v>0</v>
      </c>
      <c r="D48" s="43">
        <f t="shared" si="5"/>
        <v>0</v>
      </c>
      <c r="E48" s="17">
        <f>INDEX(Physician_Type_Bed_Rate,MATCH(May!B48,Physician_Type_Practice,0))*'Hospital Input Page'!$C$4</f>
        <v>2699.1411231584075</v>
      </c>
      <c r="F48" s="9">
        <f t="shared" si="7"/>
        <v>0</v>
      </c>
      <c r="H48" s="5">
        <f>SUMIFS(Physician_Visit_May,Physician_Visit_Practice,May!B48,Independent_Contractor_Visits, "&lt;&gt;"&amp;'Physician Types'!$D$81)+SUMIFS(Physician_Visit_May,Physician_Visit_Practice,May!B48,Independent_Contractor_Visits,'Physician Types'!$D$81)*INDEX(Physician_Type_Hospitalists_Visit_Minutes,MATCH(May!B48,Physician_Type_Practice,0))/INDEX(Physician_Type_Visit_Minutes,MATCH(May!B48,Physician_Type_Practice,0)) +SUMIF(Physician_Minutes_Practice,May!B48,Physician_Minutes_May)/INDEX(Physician_Type_Visit_Minutes,MATCH(May!B48,Physician_Type_Practice,0))</f>
        <v>0</v>
      </c>
      <c r="I48" s="43">
        <f t="shared" si="6"/>
        <v>0</v>
      </c>
      <c r="J48" s="10">
        <f>E48*'Physician Types'!$E$4</f>
        <v>80.974233694752215</v>
      </c>
      <c r="K48" s="10">
        <f t="shared" si="8"/>
        <v>0</v>
      </c>
    </row>
    <row r="49" spans="1:11" x14ac:dyDescent="0.2">
      <c r="A49" s="158">
        <v>4</v>
      </c>
      <c r="B49" s="102" t="s">
        <v>61</v>
      </c>
      <c r="C49" s="5">
        <f>SUMIFS(Physician_Visit_May,Physician_Visit_Practice,May!B49,Physician_Visit_Hospitalists, "&lt;&gt;"&amp;'Physician Types'!$D$81)+SUMIFS(Physician_Visit_May,Physician_Visit_Practice,May!B49,Physician_Visit_Hospitalists,'Physician Types'!$D$81)*INDEX(Physician_Type_Hospitalists_Visit_Minutes,MATCH(May!B49,Physician_Type_Practice,0))/INDEX(Physician_Type_Visit_Minutes,MATCH(May!B49,Physician_Type_Practice,0)) +SUMIF(Physician_Minutes_Practice,May!B49,Physician_Minutes_May)/INDEX(Physician_Type_Visit_Minutes,MATCH(May!B49,Physician_Type_Practice,0))</f>
        <v>0</v>
      </c>
      <c r="D49" s="43">
        <f t="shared" si="5"/>
        <v>0</v>
      </c>
      <c r="E49" s="17">
        <f>INDEX(Physician_Type_Bed_Rate,MATCH(May!B49,Physician_Type_Practice,0))*'Hospital Input Page'!$C$4</f>
        <v>3071.9075400226566</v>
      </c>
      <c r="F49" s="9">
        <f t="shared" si="7"/>
        <v>0</v>
      </c>
      <c r="H49" s="5">
        <f>SUMIFS(Physician_Visit_May,Physician_Visit_Practice,May!B49,Independent_Contractor_Visits, "&lt;&gt;"&amp;'Physician Types'!$D$81)+SUMIFS(Physician_Visit_May,Physician_Visit_Practice,May!B49,Independent_Contractor_Visits,'Physician Types'!$D$81)*INDEX(Physician_Type_Hospitalists_Visit_Minutes,MATCH(May!B49,Physician_Type_Practice,0))/INDEX(Physician_Type_Visit_Minutes,MATCH(May!B49,Physician_Type_Practice,0)) +SUMIF(Physician_Minutes_Practice,May!B49,Physician_Minutes_May)/INDEX(Physician_Type_Visit_Minutes,MATCH(May!B49,Physician_Type_Practice,0))</f>
        <v>0</v>
      </c>
      <c r="I49" s="43">
        <f t="shared" si="6"/>
        <v>0</v>
      </c>
      <c r="J49" s="10">
        <f>E49*'Physician Types'!$E$4</f>
        <v>92.157226200679688</v>
      </c>
      <c r="K49" s="10">
        <f t="shared" si="8"/>
        <v>0</v>
      </c>
    </row>
    <row r="50" spans="1:11" x14ac:dyDescent="0.2">
      <c r="A50" s="158">
        <v>2</v>
      </c>
      <c r="B50" s="107" t="s">
        <v>34</v>
      </c>
      <c r="C50" s="5">
        <f>SUMIFS(Physician_Visit_May,Physician_Visit_Practice,May!B50,Physician_Visit_Hospitalists, "&lt;&gt;"&amp;'Physician Types'!$D$81)+SUMIFS(Physician_Visit_May,Physician_Visit_Practice,May!B50,Physician_Visit_Hospitalists,'Physician Types'!$D$81)*INDEX(Physician_Type_Hospitalists_Visit_Minutes,MATCH(May!B50,Physician_Type_Practice,0))/INDEX(Physician_Type_Visit_Minutes,MATCH(May!B50,Physician_Type_Practice,0)) +SUMIF(Physician_Minutes_Practice,May!B50,Physician_Minutes_May)/INDEX(Physician_Type_Visit_Minutes,MATCH(May!B50,Physician_Type_Practice,0))</f>
        <v>0</v>
      </c>
      <c r="D50" s="43">
        <f t="shared" si="5"/>
        <v>0</v>
      </c>
      <c r="E50" s="17">
        <f>INDEX(Physician_Type_Bed_Rate,MATCH(May!B50,Physician_Type_Practice,0))*'Hospital Input Page'!$C$4</f>
        <v>1619.8750052216039</v>
      </c>
      <c r="F50" s="9">
        <f t="shared" si="7"/>
        <v>0</v>
      </c>
      <c r="H50" s="5">
        <f>SUMIFS(Physician_Visit_May,Physician_Visit_Practice,May!B50,Independent_Contractor_Visits, "&lt;&gt;"&amp;'Physician Types'!$D$81)+SUMIFS(Physician_Visit_May,Physician_Visit_Practice,May!B50,Independent_Contractor_Visits,'Physician Types'!$D$81)*INDEX(Physician_Type_Hospitalists_Visit_Minutes,MATCH(May!B50,Physician_Type_Practice,0))/INDEX(Physician_Type_Visit_Minutes,MATCH(May!B50,Physician_Type_Practice,0)) +SUMIF(Physician_Minutes_Practice,May!B50,Physician_Minutes_May)/INDEX(Physician_Type_Visit_Minutes,MATCH(May!B50,Physician_Type_Practice,0))</f>
        <v>0</v>
      </c>
      <c r="I50" s="43">
        <f t="shared" si="6"/>
        <v>0</v>
      </c>
      <c r="J50" s="10">
        <f>E50*'Physician Types'!$E$4</f>
        <v>48.596250156648118</v>
      </c>
      <c r="K50" s="10">
        <f t="shared" si="8"/>
        <v>0</v>
      </c>
    </row>
    <row r="51" spans="1:11" x14ac:dyDescent="0.2">
      <c r="A51" s="158">
        <v>7</v>
      </c>
      <c r="B51" s="102" t="s">
        <v>72</v>
      </c>
      <c r="C51" s="5">
        <f>SUMIFS(Physician_Visit_May,Physician_Visit_Practice,May!B51,Physician_Visit_Hospitalists, "&lt;&gt;"&amp;'Physician Types'!$D$81)+SUMIFS(Physician_Visit_May,Physician_Visit_Practice,May!B51,Physician_Visit_Hospitalists,'Physician Types'!$D$81)*INDEX(Physician_Type_Hospitalists_Visit_Minutes,MATCH(May!B51,Physician_Type_Practice,0))/INDEX(Physician_Type_Visit_Minutes,MATCH(May!B51,Physician_Type_Practice,0)) +SUMIF(Physician_Minutes_Practice,May!B51,Physician_Minutes_May)/INDEX(Physician_Type_Visit_Minutes,MATCH(May!B51,Physician_Type_Practice,0))</f>
        <v>0</v>
      </c>
      <c r="D51" s="43">
        <f t="shared" si="5"/>
        <v>0</v>
      </c>
      <c r="E51" s="17">
        <f>INDEX(Physician_Type_Bed_Rate,MATCH(May!B51,Physician_Type_Practice,0))*'Hospital Input Page'!$C$4</f>
        <v>7974.4690016090053</v>
      </c>
      <c r="F51" s="9">
        <f t="shared" si="7"/>
        <v>0</v>
      </c>
      <c r="H51" s="5">
        <f>SUMIFS(Physician_Visit_May,Physician_Visit_Practice,May!B51,Independent_Contractor_Visits, "&lt;&gt;"&amp;'Physician Types'!$D$81)+SUMIFS(Physician_Visit_May,Physician_Visit_Practice,May!B51,Independent_Contractor_Visits,'Physician Types'!$D$81)*INDEX(Physician_Type_Hospitalists_Visit_Minutes,MATCH(May!B51,Physician_Type_Practice,0))/INDEX(Physician_Type_Visit_Minutes,MATCH(May!B51,Physician_Type_Practice,0)) +SUMIF(Physician_Minutes_Practice,May!B51,Physician_Minutes_May)/INDEX(Physician_Type_Visit_Minutes,MATCH(May!B51,Physician_Type_Practice,0))</f>
        <v>0</v>
      </c>
      <c r="I51" s="43">
        <f t="shared" si="6"/>
        <v>0</v>
      </c>
      <c r="J51" s="10">
        <f>E51*'Physician Types'!$E$4</f>
        <v>239.23407004827015</v>
      </c>
      <c r="K51" s="10">
        <f t="shared" si="8"/>
        <v>0</v>
      </c>
    </row>
    <row r="52" spans="1:11" x14ac:dyDescent="0.2">
      <c r="A52" s="158">
        <v>6</v>
      </c>
      <c r="B52" s="102" t="s">
        <v>69</v>
      </c>
      <c r="C52" s="5">
        <f>SUMIFS(Physician_Visit_May,Physician_Visit_Practice,May!B52,Physician_Visit_Hospitalists, "&lt;&gt;"&amp;'Physician Types'!$D$81)+SUMIFS(Physician_Visit_May,Physician_Visit_Practice,May!B52,Physician_Visit_Hospitalists,'Physician Types'!$D$81)*INDEX(Physician_Type_Hospitalists_Visit_Minutes,MATCH(May!B52,Physician_Type_Practice,0))/INDEX(Physician_Type_Visit_Minutes,MATCH(May!B52,Physician_Type_Practice,0)) +SUMIF(Physician_Minutes_Practice,May!B52,Physician_Minutes_May)/INDEX(Physician_Type_Visit_Minutes,MATCH(May!B52,Physician_Type_Practice,0))</f>
        <v>0</v>
      </c>
      <c r="D52" s="43">
        <f t="shared" si="5"/>
        <v>0</v>
      </c>
      <c r="E52" s="17">
        <f>INDEX(Physician_Type_Bed_Rate,MATCH(May!B52,Physician_Type_Practice,0))*'Hospital Input Page'!$C$4</f>
        <v>3534.4501619955722</v>
      </c>
      <c r="F52" s="9">
        <f t="shared" si="7"/>
        <v>0</v>
      </c>
      <c r="H52" s="5">
        <f>SUMIFS(Physician_Visit_May,Physician_Visit_Practice,May!B52,Independent_Contractor_Visits, "&lt;&gt;"&amp;'Physician Types'!$D$81)+SUMIFS(Physician_Visit_May,Physician_Visit_Practice,May!B52,Independent_Contractor_Visits,'Physician Types'!$D$81)*INDEX(Physician_Type_Hospitalists_Visit_Minutes,MATCH(May!B52,Physician_Type_Practice,0))/INDEX(Physician_Type_Visit_Minutes,MATCH(May!B52,Physician_Type_Practice,0)) +SUMIF(Physician_Minutes_Practice,May!B52,Physician_Minutes_May)/INDEX(Physician_Type_Visit_Minutes,MATCH(May!B52,Physician_Type_Practice,0))</f>
        <v>0</v>
      </c>
      <c r="I52" s="43">
        <f t="shared" si="6"/>
        <v>0</v>
      </c>
      <c r="J52" s="10">
        <f>E52*'Physician Types'!$E$4</f>
        <v>106.03350485986716</v>
      </c>
      <c r="K52" s="10">
        <f t="shared" si="8"/>
        <v>0</v>
      </c>
    </row>
    <row r="53" spans="1:11" x14ac:dyDescent="0.2">
      <c r="A53" s="158">
        <v>2</v>
      </c>
      <c r="B53" s="107" t="s">
        <v>35</v>
      </c>
      <c r="C53" s="5">
        <f>SUMIFS(Physician_Visit_May,Physician_Visit_Practice,May!B53,Physician_Visit_Hospitalists, "&lt;&gt;"&amp;'Physician Types'!$D$81)+SUMIFS(Physician_Visit_May,Physician_Visit_Practice,May!B53,Physician_Visit_Hospitalists,'Physician Types'!$D$81)*INDEX(Physician_Type_Hospitalists_Visit_Minutes,MATCH(May!B53,Physician_Type_Practice,0))/INDEX(Physician_Type_Visit_Minutes,MATCH(May!B53,Physician_Type_Practice,0)) +SUMIF(Physician_Minutes_Practice,May!B53,Physician_Minutes_May)/INDEX(Physician_Type_Visit_Minutes,MATCH(May!B53,Physician_Type_Practice,0))</f>
        <v>0</v>
      </c>
      <c r="D53" s="43">
        <f t="shared" si="5"/>
        <v>0</v>
      </c>
      <c r="E53" s="17">
        <f>INDEX(Physician_Type_Bed_Rate,MATCH(May!B53,Physician_Type_Practice,0))*'Hospital Input Page'!$C$4</f>
        <v>993.39322609373073</v>
      </c>
      <c r="F53" s="9">
        <f t="shared" si="7"/>
        <v>0</v>
      </c>
      <c r="H53" s="5">
        <f>SUMIFS(Physician_Visit_May,Physician_Visit_Practice,May!B53,Independent_Contractor_Visits, "&lt;&gt;"&amp;'Physician Types'!$D$81)+SUMIFS(Physician_Visit_May,Physician_Visit_Practice,May!B53,Independent_Contractor_Visits,'Physician Types'!$D$81)*INDEX(Physician_Type_Hospitalists_Visit_Minutes,MATCH(May!B53,Physician_Type_Practice,0))/INDEX(Physician_Type_Visit_Minutes,MATCH(May!B53,Physician_Type_Practice,0)) +SUMIF(Physician_Minutes_Practice,May!B53,Physician_Minutes_May)/INDEX(Physician_Type_Visit_Minutes,MATCH(May!B53,Physician_Type_Practice,0))</f>
        <v>0</v>
      </c>
      <c r="I53" s="43">
        <f t="shared" si="6"/>
        <v>0</v>
      </c>
      <c r="J53" s="10">
        <f>E53*'Physician Types'!$E$4</f>
        <v>29.80179678281192</v>
      </c>
      <c r="K53" s="10">
        <f t="shared" si="8"/>
        <v>0</v>
      </c>
    </row>
    <row r="54" spans="1:11" x14ac:dyDescent="0.2">
      <c r="A54" s="158"/>
      <c r="B54" s="161" t="s">
        <v>136</v>
      </c>
      <c r="C54" s="5">
        <f>SUMIFS(Physician_Visit_May,Physician_Visit_Practice,May!B54,Physician_Visit_Hospitalists, "&lt;&gt;"&amp;'Physician Types'!$D$81)+SUMIFS(Physician_Visit_May,Physician_Visit_Practice,May!B54,Physician_Visit_Hospitalists,'Physician Types'!$D$81)*INDEX(Physician_Type_Hospitalists_Visit_Minutes,MATCH(May!B54,Physician_Type_Practice,0))/INDEX(Physician_Type_Visit_Minutes,MATCH(May!B54,Physician_Type_Practice,0)) +SUMIF(Physician_Minutes_Practice,May!B54,Physician_Minutes_May)/INDEX(Physician_Type_Visit_Minutes,MATCH(May!B54,Physician_Type_Practice,0))</f>
        <v>83</v>
      </c>
      <c r="D54" s="43">
        <f t="shared" si="5"/>
        <v>0.11971384065078174</v>
      </c>
      <c r="E54" s="17">
        <f>INDEX(Physician_Type_Bed_Rate,MATCH(May!B54,Physician_Type_Practice,0))*'Hospital Input Page'!$C$4</f>
        <v>1727.2161200254454</v>
      </c>
      <c r="F54" s="9">
        <f>C54*E54/100</f>
        <v>1433.5893796211196</v>
      </c>
      <c r="H54" s="5">
        <f t="array" ref="H54">SUMIFS(Physician_Visit_May, Physician_Visit_Practice, May!B54, Independent_Contractor_Visits, 'Physician Types'!$D$81)</f>
        <v>0</v>
      </c>
      <c r="I54" s="43">
        <f t="shared" si="6"/>
        <v>0</v>
      </c>
      <c r="J54" s="10">
        <f>E54*'Physician Types'!$E$4</f>
        <v>51.816483600763362</v>
      </c>
      <c r="K54" s="10">
        <f t="shared" si="8"/>
        <v>0</v>
      </c>
    </row>
    <row r="55" spans="1:11" x14ac:dyDescent="0.2">
      <c r="A55" s="158">
        <v>2</v>
      </c>
      <c r="B55" s="107" t="s">
        <v>36</v>
      </c>
      <c r="C55" s="5">
        <f>SUMIFS(Physician_Visit_May,Physician_Visit_Practice,May!B55,Physician_Visit_Hospitalists, "&lt;&gt;"&amp;'Physician Types'!$D$81)+SUMIFS(Physician_Visit_May,Physician_Visit_Practice,May!B55,Physician_Visit_Hospitalists,'Physician Types'!$D$81)*INDEX(Physician_Type_Hospitalists_Visit_Minutes,MATCH(May!B55,Physician_Type_Practice,0))/INDEX(Physician_Type_Visit_Minutes,MATCH(May!B55,Physician_Type_Practice,0)) +SUMIF(Physician_Minutes_Practice,May!B55,Physician_Minutes_May)/INDEX(Physician_Type_Visit_Minutes,MATCH(May!B55,Physician_Type_Practice,0))</f>
        <v>0</v>
      </c>
      <c r="D55" s="43">
        <f t="shared" si="5"/>
        <v>0</v>
      </c>
      <c r="E55" s="17">
        <f>INDEX(Physician_Type_Bed_Rate,MATCH(May!B55,Physician_Type_Practice,0))*'Hospital Input Page'!$C$4</f>
        <v>2544.9602491674359</v>
      </c>
      <c r="F55" s="9">
        <f t="shared" si="7"/>
        <v>0</v>
      </c>
      <c r="H55" s="5">
        <f>SUMIFS(Physician_Visit_May,Physician_Visit_Practice,May!B55,Independent_Contractor_Visits, "&lt;&gt;"&amp;'Physician Types'!$D$81)+SUMIFS(Physician_Visit_May,Physician_Visit_Practice,May!B55,Independent_Contractor_Visits,'Physician Types'!$D$81)*INDEX(Physician_Type_Hospitalists_Visit_Minutes,MATCH(May!B55,Physician_Type_Practice,0))/INDEX(Physician_Type_Visit_Minutes,MATCH(May!B55,Physician_Type_Practice,0)) +SUMIF(Physician_Minutes_Practice,May!B55,Physician_Minutes_May)/INDEX(Physician_Type_Visit_Minutes,MATCH(May!B55,Physician_Type_Practice,0))</f>
        <v>0</v>
      </c>
      <c r="I55" s="43">
        <f t="shared" si="6"/>
        <v>0</v>
      </c>
      <c r="J55" s="10">
        <f>E55*'Physician Types'!$E$4</f>
        <v>76.348807475023079</v>
      </c>
      <c r="K55" s="10">
        <f t="shared" si="8"/>
        <v>0</v>
      </c>
    </row>
    <row r="56" spans="1:11" x14ac:dyDescent="0.2">
      <c r="A56" s="158">
        <v>2</v>
      </c>
      <c r="B56" s="107" t="s">
        <v>37</v>
      </c>
      <c r="C56" s="5">
        <f>SUMIFS(Physician_Visit_May,Physician_Visit_Practice,May!B56,Physician_Visit_Hospitalists, "&lt;&gt;"&amp;'Physician Types'!$D$81)+SUMIFS(Physician_Visit_May,Physician_Visit_Practice,May!B56,Physician_Visit_Hospitalists,'Physician Types'!$D$81)*INDEX(Physician_Type_Hospitalists_Visit_Minutes,MATCH(May!B56,Physician_Type_Practice,0))/INDEX(Physician_Type_Visit_Minutes,MATCH(May!B56,Physician_Type_Practice,0)) +SUMIF(Physician_Minutes_Practice,May!B56,Physician_Minutes_May)/INDEX(Physician_Type_Visit_Minutes,MATCH(May!B56,Physician_Type_Practice,0))</f>
        <v>0</v>
      </c>
      <c r="D56" s="43">
        <f t="shared" si="5"/>
        <v>0</v>
      </c>
      <c r="E56" s="17">
        <f>INDEX(Physician_Type_Bed_Rate,MATCH(May!B56,Physician_Type_Practice,0))*'Hospital Input Page'!$C$4</f>
        <v>1567.1802761360821</v>
      </c>
      <c r="F56" s="9">
        <f t="shared" si="7"/>
        <v>0</v>
      </c>
      <c r="H56" s="5">
        <f t="array" ref="H56">SUMIFS(Physician_Visit_May, Physician_Visit_Practice, May!B56, Independent_Contractor_Visits,  'Physician Types'!$D$81) + SUMIFS(Physician_Minutes_May,Physician_Minutes_Practice,May!B56, Independent_Contractor_Minutes, 'Physician Types'!$D$81)/INDEX(Physician_Type_Visit_Minutes,MATCH(May!B56,Physician_Type_Practice,0))</f>
        <v>0</v>
      </c>
      <c r="I56" s="43">
        <f t="shared" si="6"/>
        <v>0</v>
      </c>
      <c r="J56" s="10">
        <f>E56*'Physician Types'!$E$4</f>
        <v>47.015408284082461</v>
      </c>
      <c r="K56" s="10">
        <f t="shared" si="8"/>
        <v>0</v>
      </c>
    </row>
    <row r="57" spans="1:11" x14ac:dyDescent="0.2">
      <c r="A57" s="158">
        <v>2</v>
      </c>
      <c r="B57" s="107" t="s">
        <v>38</v>
      </c>
      <c r="C57" s="5">
        <f>SUMIFS(Physician_Visit_May,Physician_Visit_Practice,May!B57,Physician_Visit_Hospitalists, "&lt;&gt;"&amp;'Physician Types'!$D$81)+SUMIFS(Physician_Visit_May,Physician_Visit_Practice,May!B57,Physician_Visit_Hospitalists,'Physician Types'!$D$81)*INDEX(Physician_Type_Hospitalists_Visit_Minutes,MATCH(May!B57,Physician_Type_Practice,0))/INDEX(Physician_Type_Visit_Minutes,MATCH(May!B57,Physician_Type_Practice,0)) +SUMIF(Physician_Minutes_Practice,May!B57,Physician_Minutes_May)/INDEX(Physician_Type_Visit_Minutes,MATCH(May!B57,Physician_Type_Practice,0))</f>
        <v>0</v>
      </c>
      <c r="D57" s="43">
        <f t="shared" si="5"/>
        <v>0</v>
      </c>
      <c r="E57" s="17">
        <f>INDEX(Physician_Type_Bed_Rate,MATCH(May!B57,Physician_Type_Practice,0))*'Hospital Input Page'!$C$4</f>
        <v>4399.0340503246935</v>
      </c>
      <c r="F57" s="9">
        <f t="shared" si="7"/>
        <v>0</v>
      </c>
      <c r="H57" s="5">
        <f t="array" ref="H57">SUMIFS(Physician_Visit_May, Physician_Visit_Practice, May!B57, Independent_Contractor_Visits,  'Physician Types'!$D$81) + SUMIFS(Physician_Minutes_May,Physician_Minutes_Practice,May!B57, Independent_Contractor_Minutes, 'Physician Types'!$D$81)/INDEX(Physician_Type_Visit_Minutes,MATCH(May!B57,Physician_Type_Practice,0))</f>
        <v>0</v>
      </c>
      <c r="I57" s="43">
        <f t="shared" si="6"/>
        <v>0</v>
      </c>
      <c r="J57" s="10">
        <f>E57*'Physician Types'!$E$4</f>
        <v>131.97102150974081</v>
      </c>
      <c r="K57" s="10">
        <f t="shared" si="8"/>
        <v>0</v>
      </c>
    </row>
    <row r="58" spans="1:11" x14ac:dyDescent="0.2">
      <c r="A58" s="158">
        <v>3</v>
      </c>
      <c r="B58" s="161" t="s">
        <v>155</v>
      </c>
      <c r="C58" s="5">
        <f>SUMIFS(Physician_Visit_May,Physician_Visit_Practice,May!B58,Physician_Visit_Hospitalists, "&lt;&gt;"&amp;'Physician Types'!$D$81)+SUMIFS(Physician_Visit_May,Physician_Visit_Practice,May!B58,Physician_Visit_Hospitalists,'Physician Types'!$D$81)*INDEX(Physician_Type_Hospitalists_Visit_Minutes,MATCH(May!B58,Physician_Type_Practice,0))/INDEX(Physician_Type_Visit_Minutes,MATCH(May!B58,Physician_Type_Practice,0)) +SUMIF(Physician_Minutes_Practice,May!B58,Physician_Minutes_May)/INDEX(Physician_Type_Visit_Minutes,MATCH(May!B58,Physician_Type_Practice,0))</f>
        <v>177</v>
      </c>
      <c r="D58" s="43">
        <f t="shared" si="5"/>
        <v>0.34039116136848779</v>
      </c>
      <c r="E58" s="17">
        <f>INDEX(Physician_Type_Bed_Rate,MATCH(May!B58,Physician_Type_Practice,0))*'Hospital Input Page'!$C$4</f>
        <v>1951.6566327971132</v>
      </c>
      <c r="F58" s="9">
        <f t="shared" si="7"/>
        <v>664.32666783032164</v>
      </c>
      <c r="H58" s="5">
        <f t="array" ref="H58">SUMIFS(Physician_Visit_May, Physician_Visit_Practice, May!B58, Independent_Contractor_Visits,  'Physician Types'!$D$81) + SUMIFS(Physician_Minutes_May,Physician_Minutes_Practice,May!B58, Independent_Contractor_Minutes, 'Physician Types'!$D$81)/INDEX(Physician_Type_Visit_Minutes,MATCH(May!B58,Physician_Type_Practice,0))</f>
        <v>0</v>
      </c>
      <c r="I58" s="43">
        <f t="shared" si="6"/>
        <v>0</v>
      </c>
      <c r="J58" s="10">
        <f>E58*'Physician Types'!$E$4</f>
        <v>58.549698983913395</v>
      </c>
      <c r="K58" s="10">
        <f t="shared" si="8"/>
        <v>0</v>
      </c>
    </row>
    <row r="59" spans="1:11" x14ac:dyDescent="0.2">
      <c r="A59" s="158">
        <v>5</v>
      </c>
      <c r="B59" s="161" t="s">
        <v>137</v>
      </c>
      <c r="C59" s="5">
        <f>SUMIFS(Physician_Visit_May,Physician_Visit_Practice,May!B59,Physician_Visit_Hospitalists, "&lt;&gt;"&amp;'Physician Types'!$D$81)+SUMIFS(Physician_Visit_May,Physician_Visit_Practice,May!B59,Physician_Visit_Hospitalists,'Physician Types'!$D$81)*INDEX(Physician_Type_Hospitalists_Visit_Minutes,MATCH(May!B59,Physician_Type_Practice,0))/INDEX(Physician_Type_Visit_Minutes,MATCH(May!B59,Physician_Type_Practice,0)) +SUMIF(Physician_Minutes_Practice,May!B59,Physician_Minutes_May)/INDEX(Physician_Type_Visit_Minutes,MATCH(May!B59,Physician_Type_Practice,0))</f>
        <v>0</v>
      </c>
      <c r="D59" s="43">
        <f t="shared" si="5"/>
        <v>0</v>
      </c>
      <c r="E59" s="17">
        <f>INDEX(Physician_Type_Bed_Rate,MATCH(May!B59,Physician_Type_Practice,0))*'Hospital Input Page'!$C$4</f>
        <v>4933.7879677111023</v>
      </c>
      <c r="F59" s="9">
        <f t="shared" si="7"/>
        <v>0</v>
      </c>
      <c r="H59" s="5">
        <f t="array" ref="H59">SUMIFS(Physician_Visit_May, Physician_Visit_Practice, May!B59, Independent_Contractor_Visits,  'Physician Types'!$D$81) + SUMIFS(Physician_Minutes_May,Physician_Minutes_Practice,May!B59, Independent_Contractor_Minutes, 'Physician Types'!$D$81)/INDEX(Physician_Type_Visit_Minutes,MATCH(May!B59,Physician_Type_Practice,0))</f>
        <v>0</v>
      </c>
      <c r="I59" s="43">
        <f t="shared" si="6"/>
        <v>0</v>
      </c>
      <c r="J59" s="10">
        <f>E59*'Physician Types'!$E$4</f>
        <v>148.01363903133307</v>
      </c>
      <c r="K59" s="10">
        <f t="shared" si="8"/>
        <v>0</v>
      </c>
    </row>
    <row r="60" spans="1:11" x14ac:dyDescent="0.2">
      <c r="A60" s="158">
        <v>6</v>
      </c>
      <c r="B60" s="102" t="s">
        <v>70</v>
      </c>
      <c r="C60" s="5">
        <f>SUMIFS(Physician_Visit_May,Physician_Visit_Practice,May!B60,Physician_Visit_Hospitalists, "&lt;&gt;"&amp;'Physician Types'!$D$81)+SUMIFS(Physician_Visit_May,Physician_Visit_Practice,May!B60,Physician_Visit_Hospitalists,'Physician Types'!$D$81)*INDEX(Physician_Type_Hospitalists_Visit_Minutes,MATCH(May!B60,Physician_Type_Practice,0))/INDEX(Physician_Type_Visit_Minutes,MATCH(May!B60,Physician_Type_Practice,0)) +SUMIF(Physician_Minutes_Practice,May!B60,Physician_Minutes_May)/INDEX(Physician_Type_Visit_Minutes,MATCH(May!B60,Physician_Type_Practice,0))</f>
        <v>0</v>
      </c>
      <c r="D60" s="43">
        <f t="shared" si="5"/>
        <v>0</v>
      </c>
      <c r="E60" s="17">
        <f>INDEX(Physician_Type_Bed_Rate,MATCH(May!B60,Physician_Type_Practice,0))*'Hospital Input Page'!$C$4</f>
        <v>5179.6967034435384</v>
      </c>
      <c r="F60" s="9">
        <f t="shared" si="7"/>
        <v>0</v>
      </c>
      <c r="H60" s="5">
        <f t="array" ref="H60">SUMIFS(Physician_Visit_May, Physician_Visit_Practice, May!B60, Independent_Contractor_Visits,  'Physician Types'!$D$81) + SUMIFS(Physician_Minutes_May,Physician_Minutes_Practice,May!B60, Independent_Contractor_Minutes, 'Physician Types'!$D$81)/INDEX(Physician_Type_Visit_Minutes,MATCH(May!B60,Physician_Type_Practice,0))</f>
        <v>0</v>
      </c>
      <c r="I60" s="43">
        <f t="shared" si="6"/>
        <v>0</v>
      </c>
      <c r="J60" s="10">
        <f>E60*'Physician Types'!$E$4</f>
        <v>155.39090110330613</v>
      </c>
      <c r="K60" s="10">
        <f t="shared" si="8"/>
        <v>0</v>
      </c>
    </row>
    <row r="61" spans="1:11" x14ac:dyDescent="0.2">
      <c r="A61" s="158">
        <v>2</v>
      </c>
      <c r="B61" s="107" t="s">
        <v>39</v>
      </c>
      <c r="C61" s="5">
        <f>SUMIFS(Physician_Visit_May,Physician_Visit_Practice,May!B61,Physician_Visit_Hospitalists, "&lt;&gt;"&amp;'Physician Types'!$D$81)+SUMIFS(Physician_Visit_May,Physician_Visit_Practice,May!B61,Physician_Visit_Hospitalists,'Physician Types'!$D$81)*INDEX(Physician_Type_Hospitalists_Visit_Minutes,MATCH(May!B61,Physician_Type_Practice,0))/INDEX(Physician_Type_Visit_Minutes,MATCH(May!B61,Physician_Type_Practice,0)) +SUMIF(Physician_Minutes_Practice,May!B61,Physician_Minutes_May)/INDEX(Physician_Type_Visit_Minutes,MATCH(May!B61,Physician_Type_Practice,0))</f>
        <v>0</v>
      </c>
      <c r="D61" s="43">
        <f t="shared" si="5"/>
        <v>0</v>
      </c>
      <c r="E61" s="17">
        <f>INDEX(Physician_Type_Bed_Rate,MATCH(May!B61,Physician_Type_Practice,0))*'Hospital Input Page'!$C$4</f>
        <v>2539.1052792690443</v>
      </c>
      <c r="F61" s="9">
        <f t="shared" si="7"/>
        <v>0</v>
      </c>
      <c r="H61" s="5">
        <f t="array" ref="H61">SUMIFS(Physician_Visit_May, Physician_Visit_Practice, May!B61, Independent_Contractor_Visits,  'Physician Types'!$D$81) + SUMIFS(Physician_Minutes_May,Physician_Minutes_Practice,May!B61, Independent_Contractor_Minutes, 'Physician Types'!$D$81)/INDEX(Physician_Type_Visit_Minutes,MATCH(May!B61,Physician_Type_Practice,0))</f>
        <v>0</v>
      </c>
      <c r="I61" s="43">
        <f t="shared" si="6"/>
        <v>0</v>
      </c>
      <c r="J61" s="10">
        <f>E61*'Physician Types'!$E$4</f>
        <v>76.173158378071321</v>
      </c>
      <c r="K61" s="10">
        <f t="shared" si="8"/>
        <v>0</v>
      </c>
    </row>
    <row r="62" spans="1:11" x14ac:dyDescent="0.2">
      <c r="A62" s="158">
        <v>2</v>
      </c>
      <c r="B62" s="107" t="s">
        <v>40</v>
      </c>
      <c r="C62" s="5">
        <f>SUMIFS(Physician_Visit_May,Physician_Visit_Practice,May!B62,Physician_Visit_Hospitalists, "&lt;&gt;"&amp;'Physician Types'!$D$81)+SUMIFS(Physician_Visit_May,Physician_Visit_Practice,May!B62,Physician_Visit_Hospitalists,'Physician Types'!$D$81)*INDEX(Physician_Type_Hospitalists_Visit_Minutes,MATCH(May!B62,Physician_Type_Practice,0))/INDEX(Physician_Type_Visit_Minutes,MATCH(May!B62,Physician_Type_Practice,0)) +SUMIF(Physician_Minutes_Practice,May!B62,Physician_Minutes_May)/INDEX(Physician_Type_Visit_Minutes,MATCH(May!B62,Physician_Type_Practice,0))</f>
        <v>0</v>
      </c>
      <c r="D62" s="43">
        <f t="shared" si="5"/>
        <v>0</v>
      </c>
      <c r="E62" s="17">
        <f>INDEX(Physician_Type_Bed_Rate,MATCH(May!B62,Physician_Type_Practice,0))*'Hospital Input Page'!$C$4</f>
        <v>1619.8750052216039</v>
      </c>
      <c r="F62" s="9">
        <f t="shared" si="7"/>
        <v>0</v>
      </c>
      <c r="H62" s="5">
        <f t="array" ref="H62">SUMIFS(Physician_Visit_May, Physician_Visit_Practice, May!B62, Independent_Contractor_Visits,  'Physician Types'!$D$81) + SUMIFS(Physician_Minutes_May,Physician_Minutes_Practice,May!B62, Independent_Contractor_Minutes, 'Physician Types'!$D$81)/INDEX(Physician_Type_Visit_Minutes,MATCH(May!B62,Physician_Type_Practice,0))</f>
        <v>0</v>
      </c>
      <c r="I62" s="43">
        <f t="shared" si="6"/>
        <v>0</v>
      </c>
      <c r="J62" s="10">
        <f>E62*'Physician Types'!$E$4</f>
        <v>48.596250156648118</v>
      </c>
      <c r="K62" s="10">
        <f t="shared" si="8"/>
        <v>0</v>
      </c>
    </row>
    <row r="63" spans="1:11" x14ac:dyDescent="0.2">
      <c r="A63" s="158">
        <v>2</v>
      </c>
      <c r="B63" s="107" t="s">
        <v>41</v>
      </c>
      <c r="C63" s="5">
        <f>SUMIFS(Physician_Visit_May,Physician_Visit_Practice,May!B63,Physician_Visit_Hospitalists, "&lt;&gt;"&amp;'Physician Types'!$D$81)+SUMIFS(Physician_Visit_May,Physician_Visit_Practice,May!B63,Physician_Visit_Hospitalists,'Physician Types'!$D$81)*INDEX(Physician_Type_Hospitalists_Visit_Minutes,MATCH(May!B63,Physician_Type_Practice,0))/INDEX(Physician_Type_Visit_Minutes,MATCH(May!B63,Physician_Type_Practice,0)) +SUMIF(Physician_Minutes_Practice,May!B63,Physician_Minutes_May)/INDEX(Physician_Type_Visit_Minutes,MATCH(May!B63,Physician_Type_Practice,0))</f>
        <v>0</v>
      </c>
      <c r="D63" s="43">
        <f t="shared" si="5"/>
        <v>0</v>
      </c>
      <c r="E63" s="17">
        <f>INDEX(Physician_Type_Bed_Rate,MATCH(May!B63,Physician_Type_Practice,0))*'Hospital Input Page'!$C$4</f>
        <v>4844.0117626024357</v>
      </c>
      <c r="F63" s="9">
        <f t="shared" si="7"/>
        <v>0</v>
      </c>
      <c r="H63" s="5">
        <f t="array" ref="H63">SUMIFS(Physician_Visit_May, Physician_Visit_Practice, May!B63, Independent_Contractor_Visits,  'Physician Types'!$D$81) + SUMIFS(Physician_Minutes_May,Physician_Minutes_Practice,May!B63, Independent_Contractor_Minutes, 'Physician Types'!$D$81)/INDEX(Physician_Type_Visit_Minutes,MATCH(May!B63,Physician_Type_Practice,0))</f>
        <v>0</v>
      </c>
      <c r="I63" s="43">
        <f t="shared" si="6"/>
        <v>0</v>
      </c>
      <c r="J63" s="10">
        <f>E63*'Physician Types'!$E$4</f>
        <v>145.32035287807307</v>
      </c>
      <c r="K63" s="10">
        <f t="shared" si="8"/>
        <v>0</v>
      </c>
    </row>
    <row r="64" spans="1:11" x14ac:dyDescent="0.2">
      <c r="A64" s="158">
        <v>6</v>
      </c>
      <c r="B64" s="128" t="s">
        <v>138</v>
      </c>
      <c r="C64" s="5">
        <f>SUMIFS(Physician_Visit_May,Physician_Visit_Practice,May!B64,Physician_Visit_Hospitalists, "&lt;&gt;"&amp;'Physician Types'!$D$81)+SUMIFS(Physician_Visit_May,Physician_Visit_Practice,May!B64,Physician_Visit_Hospitalists,'Physician Types'!$D$81)*INDEX(Physician_Type_Hospitalists_Visit_Minutes,MATCH(May!B64,Physician_Type_Practice,0))/INDEX(Physician_Type_Visit_Minutes,MATCH(May!B64,Physician_Type_Practice,0)) +SUMIF(Physician_Minutes_Practice,May!B64,Physician_Minutes_May)/INDEX(Physician_Type_Visit_Minutes,MATCH(May!B64,Physician_Type_Practice,0))</f>
        <v>0</v>
      </c>
      <c r="D64" s="43">
        <f t="shared" si="5"/>
        <v>0</v>
      </c>
      <c r="E64" s="17">
        <f>INDEX(Physician_Type_Bed_Rate,MATCH(May!B64,Physician_Type_Practice,0))*'Hospital Input Page'!$C$4</f>
        <v>5782.7586029778467</v>
      </c>
      <c r="F64" s="9">
        <f t="shared" si="7"/>
        <v>0</v>
      </c>
      <c r="H64" s="5">
        <f t="array" ref="H64">SUMIFS(Physician_Visit_May, Physician_Visit_Practice, May!B64, Independent_Contractor_Visits,  'Physician Types'!$D$81) + SUMIFS(Physician_Minutes_May,Physician_Minutes_Practice,May!B64, Independent_Contractor_Minutes, 'Physician Types'!$D$81)/INDEX(Physician_Type_Visit_Minutes,MATCH(May!B64,Physician_Type_Practice,0))</f>
        <v>0</v>
      </c>
      <c r="I64" s="43">
        <f t="shared" si="6"/>
        <v>0</v>
      </c>
      <c r="J64" s="10">
        <f>E64*'Physician Types'!$E$4</f>
        <v>173.48275808933539</v>
      </c>
      <c r="K64" s="10">
        <f t="shared" si="8"/>
        <v>0</v>
      </c>
    </row>
    <row r="65" spans="1:11" x14ac:dyDescent="0.2">
      <c r="A65" s="158">
        <v>2</v>
      </c>
      <c r="B65" s="107" t="s">
        <v>42</v>
      </c>
      <c r="C65" s="5">
        <f>SUMIFS(Physician_Visit_May,Physician_Visit_Practice,May!B65,Physician_Visit_Hospitalists, "&lt;&gt;"&amp;'Physician Types'!$D$81)+SUMIFS(Physician_Visit_May,Physician_Visit_Practice,May!B65,Physician_Visit_Hospitalists,'Physician Types'!$D$81)*INDEX(Physician_Type_Hospitalists_Visit_Minutes,MATCH(May!B65,Physician_Type_Practice,0))/INDEX(Physician_Type_Visit_Minutes,MATCH(May!B65,Physician_Type_Practice,0)) +SUMIF(Physician_Minutes_Practice,May!B65,Physician_Minutes_May)/INDEX(Physician_Type_Visit_Minutes,MATCH(May!B65,Physician_Type_Practice,0))</f>
        <v>0</v>
      </c>
      <c r="D65" s="43">
        <f t="shared" si="5"/>
        <v>0</v>
      </c>
      <c r="E65" s="17">
        <f>INDEX(Physician_Type_Bed_Rate,MATCH(May!B65,Physician_Type_Practice,0))*'Hospital Input Page'!$C$4</f>
        <v>1487.1623541914003</v>
      </c>
      <c r="F65" s="9">
        <f t="shared" si="7"/>
        <v>0</v>
      </c>
      <c r="H65" s="5">
        <f t="array" ref="H65">SUMIFS(Physician_Visit_May, Physician_Visit_Practice, May!B65, Independent_Contractor_Visits,  'Physician Types'!$D$81) + SUMIFS(Physician_Minutes_May,Physician_Minutes_Practice,May!B65, Independent_Contractor_Minutes, 'Physician Types'!$D$81)/INDEX(Physician_Type_Visit_Minutes,MATCH(May!B65,Physician_Type_Practice,0))</f>
        <v>0</v>
      </c>
      <c r="I65" s="43">
        <f t="shared" si="6"/>
        <v>0</v>
      </c>
      <c r="J65" s="10">
        <f>E65*'Physician Types'!$E$4</f>
        <v>44.614870625742007</v>
      </c>
      <c r="K65" s="10">
        <f t="shared" si="8"/>
        <v>0</v>
      </c>
    </row>
    <row r="66" spans="1:11" x14ac:dyDescent="0.2">
      <c r="A66" s="158">
        <v>5</v>
      </c>
      <c r="B66" s="102" t="s">
        <v>64</v>
      </c>
      <c r="C66" s="5">
        <f>SUMIFS(Physician_Visit_May,Physician_Visit_Practice,May!B66,Physician_Visit_Hospitalists, "&lt;&gt;"&amp;'Physician Types'!$D$81)+SUMIFS(Physician_Visit_May,Physician_Visit_Practice,May!B66,Physician_Visit_Hospitalists,'Physician Types'!$D$81)*INDEX(Physician_Type_Hospitalists_Visit_Minutes,MATCH(May!B66,Physician_Type_Practice,0))/INDEX(Physician_Type_Visit_Minutes,MATCH(May!B66,Physician_Type_Practice,0)) +SUMIF(Physician_Minutes_Practice,May!B66,Physician_Minutes_May)/INDEX(Physician_Type_Visit_Minutes,MATCH(May!B66,Physician_Type_Practice,0))</f>
        <v>0</v>
      </c>
      <c r="D66" s="43">
        <f t="shared" si="5"/>
        <v>0</v>
      </c>
      <c r="E66" s="17">
        <f>INDEX(Physician_Type_Bed_Rate,MATCH(May!B66,Physician_Type_Practice,0))*'Hospital Input Page'!$C$4</f>
        <v>2406.3926282388406</v>
      </c>
      <c r="F66" s="9">
        <f t="shared" si="7"/>
        <v>0</v>
      </c>
      <c r="H66" s="5">
        <f t="array" ref="H66">SUMIFS(Physician_Visit_May, Physician_Visit_Practice, May!B66, Independent_Contractor_Visits,  'Physician Types'!$D$81) + SUMIFS(Physician_Minutes_May,Physician_Minutes_Practice,May!B66, Independent_Contractor_Minutes, 'Physician Types'!$D$81)/INDEX(Physician_Type_Visit_Minutes,MATCH(May!B66,Physician_Type_Practice,0))</f>
        <v>0</v>
      </c>
      <c r="I66" s="43">
        <f t="shared" si="6"/>
        <v>0</v>
      </c>
      <c r="J66" s="10">
        <f>E66*'Physician Types'!$E$4</f>
        <v>72.19177884716521</v>
      </c>
      <c r="K66" s="10">
        <f t="shared" si="8"/>
        <v>0</v>
      </c>
    </row>
    <row r="67" spans="1:11" x14ac:dyDescent="0.2">
      <c r="A67" s="158">
        <v>5</v>
      </c>
      <c r="B67" s="102" t="s">
        <v>65</v>
      </c>
      <c r="C67" s="5">
        <f>SUMIFS(Physician_Visit_May,Physician_Visit_Practice,May!B67,Physician_Visit_Hospitalists, "&lt;&gt;"&amp;'Physician Types'!$D$81)+SUMIFS(Physician_Visit_May,Physician_Visit_Practice,May!B67,Physician_Visit_Hospitalists,'Physician Types'!$D$81)*INDEX(Physician_Type_Hospitalists_Visit_Minutes,MATCH(May!B67,Physician_Type_Practice,0))/INDEX(Physician_Type_Visit_Minutes,MATCH(May!B67,Physician_Type_Practice,0)) +SUMIF(Physician_Minutes_Practice,May!B67,Physician_Minutes_May)/INDEX(Physician_Type_Visit_Minutes,MATCH(May!B67,Physician_Type_Practice,0))</f>
        <v>0</v>
      </c>
      <c r="D67" s="43">
        <f t="shared" si="5"/>
        <v>0</v>
      </c>
      <c r="E67" s="17">
        <f>INDEX(Physician_Type_Bed_Rate,MATCH(May!B67,Physician_Type_Practice,0))*'Hospital Input Page'!$C$4</f>
        <v>1487.1623541914003</v>
      </c>
      <c r="F67" s="9">
        <f t="shared" si="7"/>
        <v>0</v>
      </c>
      <c r="H67" s="5">
        <f t="array" ref="H67">SUMIFS(Physician_Visit_May, Physician_Visit_Practice, May!B67, Independent_Contractor_Visits,  'Physician Types'!$D$81) + SUMIFS(Physician_Minutes_May,Physician_Minutes_Practice,May!B67, Independent_Contractor_Minutes, 'Physician Types'!$D$81)/INDEX(Physician_Type_Visit_Minutes,MATCH(May!B67,Physician_Type_Practice,0))</f>
        <v>0</v>
      </c>
      <c r="I67" s="43">
        <f t="shared" si="6"/>
        <v>0</v>
      </c>
      <c r="J67" s="10">
        <f>E67*'Physician Types'!$E$4</f>
        <v>44.614870625742007</v>
      </c>
      <c r="K67" s="10">
        <f t="shared" si="8"/>
        <v>0</v>
      </c>
    </row>
    <row r="68" spans="1:11" x14ac:dyDescent="0.2">
      <c r="A68" s="158">
        <v>5</v>
      </c>
      <c r="B68" s="102" t="s">
        <v>66</v>
      </c>
      <c r="C68" s="5">
        <f>SUMIFS(Physician_Visit_May,Physician_Visit_Practice,May!B68,Physician_Visit_Hospitalists, "&lt;&gt;"&amp;'Physician Types'!$D$81)+SUMIFS(Physician_Visit_May,Physician_Visit_Practice,May!B68,Physician_Visit_Hospitalists,'Physician Types'!$D$81)*INDEX(Physician_Type_Hospitalists_Visit_Minutes,MATCH(May!B68,Physician_Type_Practice,0))/INDEX(Physician_Type_Visit_Minutes,MATCH(May!B68,Physician_Type_Practice,0)) +SUMIF(Physician_Minutes_Practice,May!B68,Physician_Minutes_May)/INDEX(Physician_Type_Visit_Minutes,MATCH(May!B68,Physician_Type_Practice,0))</f>
        <v>0</v>
      </c>
      <c r="D68" s="43">
        <f t="shared" si="5"/>
        <v>0</v>
      </c>
      <c r="E68" s="17">
        <f>INDEX(Physician_Type_Bed_Rate,MATCH(May!B68,Physician_Type_Practice,0))*'Hospital Input Page'!$C$4</f>
        <v>4644.9427860571295</v>
      </c>
      <c r="F68" s="9">
        <f t="shared" si="7"/>
        <v>0</v>
      </c>
      <c r="H68" s="5">
        <f t="array" ref="H68">SUMIFS(Physician_Visit_May, Physician_Visit_Practice, May!B68, Independent_Contractor_Visits,  'Physician Types'!$D$81) + SUMIFS(Physician_Minutes_May,Physician_Minutes_Practice,May!B68, Independent_Contractor_Minutes, 'Physician Types'!$D$81)/INDEX(Physician_Type_Visit_Minutes,MATCH(May!B68,Physician_Type_Practice,0))</f>
        <v>0</v>
      </c>
      <c r="I68" s="43">
        <f t="shared" si="6"/>
        <v>0</v>
      </c>
      <c r="J68" s="10">
        <f>E68*'Physician Types'!$E$4</f>
        <v>139.34828358171387</v>
      </c>
      <c r="K68" s="10">
        <f t="shared" si="8"/>
        <v>0</v>
      </c>
    </row>
    <row r="69" spans="1:11" x14ac:dyDescent="0.2">
      <c r="A69" s="158">
        <v>2</v>
      </c>
      <c r="B69" s="107" t="s">
        <v>43</v>
      </c>
      <c r="C69" s="5">
        <f>SUMIFS(Physician_Visit_May,Physician_Visit_Practice,May!B69,Physician_Visit_Hospitalists, "&lt;&gt;"&amp;'Physician Types'!$D$81)+SUMIFS(Physician_Visit_May,Physician_Visit_Practice,May!B69,Physician_Visit_Hospitalists,'Physician Types'!$D$81)*INDEX(Physician_Type_Hospitalists_Visit_Minutes,MATCH(May!B69,Physician_Type_Practice,0))/INDEX(Physician_Type_Visit_Minutes,MATCH(May!B69,Physician_Type_Practice,0)) +SUMIF(Physician_Minutes_Practice,May!B69,Physician_Minutes_May)/INDEX(Physician_Type_Visit_Minutes,MATCH(May!B69,Physician_Type_Practice,0))</f>
        <v>0</v>
      </c>
      <c r="D69" s="43">
        <f t="shared" si="5"/>
        <v>0</v>
      </c>
      <c r="E69" s="17">
        <f>INDEX(Physician_Type_Bed_Rate,MATCH(May!B69,Physician_Type_Practice,0))*'Hospital Input Page'!$C$4</f>
        <v>2539.1052792690443</v>
      </c>
      <c r="F69" s="9">
        <f t="shared" si="7"/>
        <v>0</v>
      </c>
      <c r="H69" s="5">
        <f t="array" ref="H69">SUMIFS(Physician_Visit_May, Physician_Visit_Practice, May!B69, Independent_Contractor_Visits,  'Physician Types'!$D$81) + SUMIFS(Physician_Minutes_May,Physician_Minutes_Practice,May!B69, Independent_Contractor_Minutes, 'Physician Types'!$D$81)/INDEX(Physician_Type_Visit_Minutes,MATCH(May!B69,Physician_Type_Practice,0))</f>
        <v>0</v>
      </c>
      <c r="I69" s="43">
        <f t="shared" si="6"/>
        <v>0</v>
      </c>
      <c r="J69" s="10">
        <f>E69*'Physician Types'!$E$4</f>
        <v>76.173158378071321</v>
      </c>
      <c r="K69" s="10">
        <f t="shared" si="8"/>
        <v>0</v>
      </c>
    </row>
    <row r="70" spans="1:11" x14ac:dyDescent="0.2">
      <c r="A70" s="158">
        <v>2</v>
      </c>
      <c r="B70" s="107" t="s">
        <v>44</v>
      </c>
      <c r="C70" s="5">
        <f>SUMIFS(Physician_Visit_May,Physician_Visit_Practice,May!B70,Physician_Visit_Hospitalists, "&lt;&gt;"&amp;'Physician Types'!$D$81)+SUMIFS(Physician_Visit_May,Physician_Visit_Practice,May!B70,Physician_Visit_Hospitalists,'Physician Types'!$D$81)*INDEX(Physician_Type_Hospitalists_Visit_Minutes,MATCH(May!B70,Physician_Type_Practice,0))/INDEX(Physician_Type_Visit_Minutes,MATCH(May!B70,Physician_Type_Practice,0)) +SUMIF(Physician_Minutes_Practice,May!B70,Physician_Minutes_May)/INDEX(Physician_Type_Visit_Minutes,MATCH(May!B70,Physician_Type_Practice,0))</f>
        <v>0</v>
      </c>
      <c r="D70" s="43">
        <f t="shared" si="5"/>
        <v>0</v>
      </c>
      <c r="E70" s="17">
        <f>INDEX(Physician_Type_Bed_Rate,MATCH(May!B70,Physician_Type_Practice,0))*'Hospital Input Page'!$C$4</f>
        <v>1619.8750052216039</v>
      </c>
      <c r="F70" s="9">
        <f t="shared" si="7"/>
        <v>0</v>
      </c>
      <c r="H70" s="5">
        <f t="array" ref="H70">SUMIFS(Physician_Visit_May, Physician_Visit_Practice, May!B70, Independent_Contractor_Visits,  'Physician Types'!$D$81) + SUMIFS(Physician_Minutes_May,Physician_Minutes_Practice,May!B70, Independent_Contractor_Minutes, 'Physician Types'!$D$81)/INDEX(Physician_Type_Visit_Minutes,MATCH(May!B70,Physician_Type_Practice,0))</f>
        <v>0</v>
      </c>
      <c r="I70" s="43">
        <f t="shared" si="6"/>
        <v>0</v>
      </c>
      <c r="J70" s="10">
        <f>E70*'Physician Types'!$E$4</f>
        <v>48.596250156648118</v>
      </c>
      <c r="K70" s="10">
        <f t="shared" si="8"/>
        <v>0</v>
      </c>
    </row>
    <row r="71" spans="1:11" x14ac:dyDescent="0.2">
      <c r="A71" s="158">
        <v>2</v>
      </c>
      <c r="B71" s="161" t="s">
        <v>154</v>
      </c>
      <c r="C71" s="5">
        <f>SUMIFS(Physician_Visit_May,Physician_Visit_Practice,May!B71,Physician_Visit_Hospitalists, "&lt;&gt;"&amp;'Physician Types'!$D$81)+SUMIFS(Physician_Visit_May,Physician_Visit_Practice,May!B71,Physician_Visit_Hospitalists,'Physician Types'!$D$81)*INDEX(Physician_Type_Hospitalists_Visit_Minutes,MATCH(May!B71,Physician_Type_Practice,0))/INDEX(Physician_Type_Visit_Minutes,MATCH(May!B71,Physician_Type_Practice,0)) +SUMIF(Physician_Minutes_Practice,May!B71,Physician_Minutes_May)/INDEX(Physician_Type_Visit_Minutes,MATCH(May!B71,Physician_Type_Practice,0))</f>
        <v>0</v>
      </c>
      <c r="D71" s="43">
        <f t="shared" si="5"/>
        <v>0</v>
      </c>
      <c r="E71" s="17">
        <f>INDEX(Physician_Type_Bed_Rate,MATCH(May!B71,Physician_Type_Practice,0))*'Hospital Input Page'!$C$4</f>
        <v>1951.6566327971132</v>
      </c>
      <c r="F71" s="9">
        <f t="shared" si="7"/>
        <v>0</v>
      </c>
      <c r="H71" s="5">
        <f t="array" ref="H71">SUMIFS(Physician_Visit_May, Physician_Visit_Practice, May!B71, Independent_Contractor_Visits,  'Physician Types'!$D$81) + SUMIFS(Physician_Minutes_May,Physician_Minutes_Practice,May!B71, Independent_Contractor_Minutes, 'Physician Types'!$D$81)/INDEX(Physician_Type_Visit_Minutes,MATCH(May!B71,Physician_Type_Practice,0))</f>
        <v>0</v>
      </c>
      <c r="I71" s="43">
        <f t="shared" si="6"/>
        <v>0</v>
      </c>
      <c r="J71" s="10">
        <f>E71*'Physician Types'!$E$4</f>
        <v>58.549698983913395</v>
      </c>
      <c r="K71" s="10">
        <f t="shared" si="8"/>
        <v>0</v>
      </c>
    </row>
    <row r="72" spans="1:11" x14ac:dyDescent="0.2">
      <c r="A72" s="158">
        <v>4</v>
      </c>
      <c r="B72" s="102" t="s">
        <v>62</v>
      </c>
      <c r="C72" s="5">
        <f>SUMIFS(Physician_Visit_May,Physician_Visit_Practice,May!B72,Physician_Visit_Hospitalists, "&lt;&gt;"&amp;'Physician Types'!$D$81)+SUMIFS(Physician_Visit_May,Physician_Visit_Practice,May!B72,Physician_Visit_Hospitalists,'Physician Types'!$D$81)*INDEX(Physician_Type_Hospitalists_Visit_Minutes,MATCH(May!B72,Physician_Type_Practice,0))/INDEX(Physician_Type_Visit_Minutes,MATCH(May!B72,Physician_Type_Practice,0)) +SUMIF(Physician_Minutes_Practice,May!B72,Physician_Minutes_May)/INDEX(Physician_Type_Visit_Minutes,MATCH(May!B72,Physician_Type_Practice,0))</f>
        <v>0</v>
      </c>
      <c r="D72" s="43">
        <f t="shared" si="5"/>
        <v>0</v>
      </c>
      <c r="E72" s="17">
        <f>INDEX(Physician_Type_Bed_Rate,MATCH(May!B72,Physician_Type_Practice,0))*'Hospital Input Page'!$C$4</f>
        <v>2529.3469961050587</v>
      </c>
      <c r="F72" s="9">
        <f t="shared" si="7"/>
        <v>0</v>
      </c>
      <c r="H72" s="5">
        <f t="array" ref="H72">SUMIFS(Physician_Visit_May, Physician_Visit_Practice, May!B72, Independent_Contractor_Visits,  'Physician Types'!$D$81) + SUMIFS(Physician_Minutes_May,Physician_Minutes_Practice,May!B72, Independent_Contractor_Minutes, 'Physician Types'!$D$81)/INDEX(Physician_Type_Visit_Minutes,MATCH(May!B72,Physician_Type_Practice,0))</f>
        <v>0</v>
      </c>
      <c r="I72" s="43">
        <f t="shared" si="6"/>
        <v>0</v>
      </c>
      <c r="J72" s="10">
        <f>E72*'Physician Types'!$E$4</f>
        <v>75.880409883151756</v>
      </c>
      <c r="K72" s="10">
        <f t="shared" si="8"/>
        <v>0</v>
      </c>
    </row>
    <row r="73" spans="1:11" x14ac:dyDescent="0.2">
      <c r="A73" s="158">
        <v>2</v>
      </c>
      <c r="B73" s="107" t="s">
        <v>45</v>
      </c>
      <c r="C73" s="5">
        <f>SUMIFS(Physician_Visit_May,Physician_Visit_Practice,May!B73,Physician_Visit_Hospitalists, "&lt;&gt;"&amp;'Physician Types'!$D$81)+SUMIFS(Physician_Visit_May,Physician_Visit_Practice,May!B73,Physician_Visit_Hospitalists,'Physician Types'!$D$81)*INDEX(Physician_Type_Hospitalists_Visit_Minutes,MATCH(May!B73,Physician_Type_Practice,0))/INDEX(Physician_Type_Visit_Minutes,MATCH(May!B73,Physician_Type_Practice,0)) +SUMIF(Physician_Minutes_Practice,May!B73,Physician_Minutes_May)/INDEX(Physician_Type_Visit_Minutes,MATCH(May!B73,Physician_Type_Practice,0))</f>
        <v>0</v>
      </c>
      <c r="D73" s="43">
        <f t="shared" si="5"/>
        <v>0</v>
      </c>
      <c r="E73" s="17">
        <f>INDEX(Physician_Type_Bed_Rate,MATCH(May!B73,Physician_Type_Practice,0))*'Hospital Input Page'!$C$4</f>
        <v>4844.0117626024357</v>
      </c>
      <c r="F73" s="9">
        <f t="shared" si="7"/>
        <v>0</v>
      </c>
      <c r="H73" s="5">
        <f t="array" ref="H73">SUMIFS(Physician_Visit_May, Physician_Visit_Practice, May!B73, Independent_Contractor_Visits,  'Physician Types'!$D$81) + SUMIFS(Physician_Minutes_May,Physician_Minutes_Practice,May!B73, Independent_Contractor_Minutes, 'Physician Types'!$D$81)/INDEX(Physician_Type_Visit_Minutes,MATCH(May!B73,Physician_Type_Practice,0))</f>
        <v>0</v>
      </c>
      <c r="I73" s="43">
        <f t="shared" si="6"/>
        <v>0</v>
      </c>
      <c r="J73" s="10">
        <f>E73*'Physician Types'!$E$4</f>
        <v>145.32035287807307</v>
      </c>
      <c r="K73" s="10">
        <f t="shared" si="8"/>
        <v>0</v>
      </c>
    </row>
    <row r="74" spans="1:11" x14ac:dyDescent="0.2">
      <c r="A74" s="158">
        <v>4</v>
      </c>
      <c r="B74" s="107" t="s">
        <v>63</v>
      </c>
      <c r="C74" s="5">
        <f>SUMIFS(Physician_Visit_May,Physician_Visit_Practice,May!B74,Physician_Visit_Hospitalists, "&lt;&gt;"&amp;'Physician Types'!$D$81)+SUMIFS(Physician_Visit_May,Physician_Visit_Practice,May!B74,Physician_Visit_Hospitalists,'Physician Types'!$D$81)*INDEX(Physician_Type_Hospitalists_Visit_Minutes,MATCH(May!B74,Physician_Type_Practice,0))/INDEX(Physician_Type_Visit_Minutes,MATCH(May!B74,Physician_Type_Practice,0)) +SUMIF(Physician_Minutes_Practice,May!B74,Physician_Minutes_May)/INDEX(Physician_Type_Visit_Minutes,MATCH(May!B74,Physician_Type_Practice,0))</f>
        <v>0</v>
      </c>
      <c r="D74" s="43">
        <f t="shared" si="5"/>
        <v>0</v>
      </c>
      <c r="E74" s="17">
        <f>INDEX(Physician_Type_Bed_Rate,MATCH(May!B74,Physician_Type_Practice,0))*'Hospital Input Page'!$C$4</f>
        <v>2539.1052792690443</v>
      </c>
      <c r="F74" s="9">
        <f t="shared" si="7"/>
        <v>0</v>
      </c>
      <c r="H74" s="5">
        <f t="array" ref="H74">SUMIFS(Physician_Visit_May, Physician_Visit_Practice, May!B74, Independent_Contractor_Visits,  'Physician Types'!$D$81) + SUMIFS(Physician_Minutes_May,Physician_Minutes_Practice,May!B74, Independent_Contractor_Minutes, 'Physician Types'!$D$81)/INDEX(Physician_Type_Visit_Minutes,MATCH(May!B74,Physician_Type_Practice,0))</f>
        <v>0</v>
      </c>
      <c r="I74" s="43">
        <f t="shared" si="6"/>
        <v>0</v>
      </c>
      <c r="J74" s="10">
        <f>E74*'Physician Types'!$E$4</f>
        <v>76.173158378071321</v>
      </c>
      <c r="K74" s="10">
        <f t="shared" si="8"/>
        <v>0</v>
      </c>
    </row>
    <row r="75" spans="1:11" x14ac:dyDescent="0.2">
      <c r="A75" s="158">
        <v>2</v>
      </c>
      <c r="B75" s="107" t="s">
        <v>46</v>
      </c>
      <c r="C75" s="5">
        <f>SUMIFS(Physician_Visit_May,Physician_Visit_Practice,May!B75,Physician_Visit_Hospitalists, "&lt;&gt;"&amp;'Physician Types'!$D$81)+SUMIFS(Physician_Visit_May,Physician_Visit_Practice,May!B75,Physician_Visit_Hospitalists,'Physician Types'!$D$81)*INDEX(Physician_Type_Hospitalists_Visit_Minutes,MATCH(May!B75,Physician_Type_Practice,0))/INDEX(Physician_Type_Visit_Minutes,MATCH(May!B75,Physician_Type_Practice,0)) +SUMIF(Physician_Minutes_Practice,May!B75,Physician_Minutes_May)/INDEX(Physician_Type_Visit_Minutes,MATCH(May!B75,Physician_Type_Practice,0))</f>
        <v>0</v>
      </c>
      <c r="D75" s="43">
        <f t="shared" si="5"/>
        <v>0</v>
      </c>
      <c r="E75" s="17">
        <f>INDEX(Physician_Type_Bed_Rate,MATCH(May!B75,Physician_Type_Practice,0))*'Hospital Input Page'!$C$4</f>
        <v>1619.8750052216039</v>
      </c>
      <c r="F75" s="9">
        <f t="shared" si="7"/>
        <v>0</v>
      </c>
      <c r="H75" s="5">
        <f t="array" ref="H75">SUMIFS(Physician_Visit_May, Physician_Visit_Practice, May!B75, Independent_Contractor_Visits,  'Physician Types'!$D$81) + SUMIFS(Physician_Minutes_May,Physician_Minutes_Practice,May!B75, Independent_Contractor_Minutes, 'Physician Types'!$D$81)/INDEX(Physician_Type_Visit_Minutes,MATCH(May!B75,Physician_Type_Practice,0))</f>
        <v>0</v>
      </c>
      <c r="I75" s="43">
        <f t="shared" si="6"/>
        <v>0</v>
      </c>
      <c r="J75" s="10">
        <f>E75*'Physician Types'!$E$4</f>
        <v>48.596250156648118</v>
      </c>
      <c r="K75" s="10">
        <f t="shared" si="8"/>
        <v>0</v>
      </c>
    </row>
    <row r="76" spans="1:11" x14ac:dyDescent="0.2">
      <c r="A76" s="158">
        <v>3</v>
      </c>
      <c r="B76" s="102" t="s">
        <v>54</v>
      </c>
      <c r="C76" s="5">
        <f>SUMIFS(Physician_Visit_May,Physician_Visit_Practice,May!B76,Physician_Visit_Hospitalists, "&lt;&gt;"&amp;'Physician Types'!$D$81)+SUMIFS(Physician_Visit_May,Physician_Visit_Practice,May!B76,Physician_Visit_Hospitalists,'Physician Types'!$D$81)*INDEX(Physician_Type_Hospitalists_Visit_Minutes,MATCH(May!B76,Physician_Type_Practice,0))/INDEX(Physician_Type_Visit_Minutes,MATCH(May!B76,Physician_Type_Practice,0)) +SUMIF(Physician_Minutes_Practice,May!B76,Physician_Minutes_May)/INDEX(Physician_Type_Visit_Minutes,MATCH(May!B76,Physician_Type_Practice,0))</f>
        <v>0</v>
      </c>
      <c r="D76" s="43">
        <f t="shared" si="5"/>
        <v>0</v>
      </c>
      <c r="E76" s="17">
        <f>INDEX(Physician_Type_Bed_Rate,MATCH(May!B76,Physician_Type_Practice,0))*'Hospital Input Page'!$C$4</f>
        <v>2699.1411231584075</v>
      </c>
      <c r="F76" s="9">
        <f t="shared" si="7"/>
        <v>0</v>
      </c>
      <c r="H76" s="5">
        <f t="array" ref="H76">SUMIFS(Physician_Visit_May, Physician_Visit_Practice, May!B76, Independent_Contractor_Visits,  'Physician Types'!$D$81) + SUMIFS(Physician_Minutes_May,Physician_Minutes_Practice,May!B76, Independent_Contractor_Minutes, 'Physician Types'!$D$81)/INDEX(Physician_Type_Visit_Minutes,MATCH(May!B76,Physician_Type_Practice,0))</f>
        <v>0</v>
      </c>
      <c r="I76" s="43">
        <f t="shared" si="6"/>
        <v>0</v>
      </c>
      <c r="J76" s="10">
        <f>E76*'Physician Types'!$E$4</f>
        <v>80.974233694752215</v>
      </c>
      <c r="K76" s="10">
        <f t="shared" si="8"/>
        <v>0</v>
      </c>
    </row>
    <row r="77" spans="1:11" x14ac:dyDescent="0.2">
      <c r="A77" s="158">
        <v>3</v>
      </c>
      <c r="B77" s="102" t="s">
        <v>55</v>
      </c>
      <c r="C77" s="5">
        <f>SUMIFS(Physician_Visit_May,Physician_Visit_Practice,May!B77,Physician_Visit_Hospitalists, "&lt;&gt;"&amp;'Physician Types'!$D$81)+SUMIFS(Physician_Visit_May,Physician_Visit_Practice,May!B77,Physician_Visit_Hospitalists,'Physician Types'!$D$81)*INDEX(Physician_Type_Hospitalists_Visit_Minutes,MATCH(May!B77,Physician_Type_Practice,0))/INDEX(Physician_Type_Visit_Minutes,MATCH(May!B77,Physician_Type_Practice,0)) +SUMIF(Physician_Minutes_Practice,May!B77,Physician_Minutes_May)/INDEX(Physician_Type_Visit_Minutes,MATCH(May!B77,Physician_Type_Practice,0))</f>
        <v>0</v>
      </c>
      <c r="D77" s="43">
        <f t="shared" si="5"/>
        <v>0</v>
      </c>
      <c r="E77" s="17">
        <f>INDEX(Physician_Type_Bed_Rate,MATCH(May!B77,Physician_Type_Practice,0))*'Hospital Input Page'!$C$4</f>
        <v>2222.9369047559121</v>
      </c>
      <c r="F77" s="9">
        <f t="shared" si="7"/>
        <v>0</v>
      </c>
      <c r="H77" s="5">
        <f t="array" ref="H77">SUMIFS(Physician_Visit_May, Physician_Visit_Practice, May!B77, Independent_Contractor_Visits,  'Physician Types'!$D$81) + SUMIFS(Physician_Minutes_May,Physician_Minutes_Practice,May!B77, Independent_Contractor_Minutes, 'Physician Types'!$D$81)/INDEX(Physician_Type_Visit_Minutes,MATCH(May!B77,Physician_Type_Practice,0))</f>
        <v>0</v>
      </c>
      <c r="I77" s="43">
        <f t="shared" si="6"/>
        <v>0</v>
      </c>
      <c r="J77" s="10">
        <f>E77*'Physician Types'!$E$4</f>
        <v>66.688107142677367</v>
      </c>
      <c r="K77" s="10">
        <f t="shared" si="8"/>
        <v>0</v>
      </c>
    </row>
    <row r="78" spans="1:11" x14ac:dyDescent="0.2">
      <c r="A78" s="158">
        <v>8</v>
      </c>
      <c r="B78" s="102" t="s">
        <v>77</v>
      </c>
      <c r="C78" s="5">
        <f>SUMIFS(Physician_Visit_May,Physician_Visit_Practice,May!B78,Physician_Visit_Hospitalists, "&lt;&gt;"&amp;'Physician Types'!$D$81)+SUMIFS(Physician_Visit_May,Physician_Visit_Practice,May!B78,Physician_Visit_Hospitalists,'Physician Types'!$D$81)*INDEX(Physician_Type_Hospitalists_Visit_Minutes,MATCH(May!B78,Physician_Type_Practice,0))/INDEX(Physician_Type_Visit_Minutes,MATCH(May!B78,Physician_Type_Practice,0)) +SUMIF(Physician_Minutes_Practice,May!B78,Physician_Minutes_May)/INDEX(Physician_Type_Visit_Minutes,MATCH(May!B78,Physician_Type_Practice,0))</f>
        <v>0</v>
      </c>
      <c r="D78" s="43">
        <f t="shared" ref="D78:D110" si="9">C78*INDEX(Physician_Type_Visit_Minutes,MATCH(B78,Physician_Type_Practice,0))/INDEX(Physician_Type_FTE_Minutes,MATCH(B78,Physician_Type_Practice,0))</f>
        <v>0</v>
      </c>
      <c r="E78" s="17">
        <f>INDEX(Physician_Type_Bed_Rate,MATCH(May!B78,Physician_Type_Practice,0))*'Hospital Input Page'!$C$4</f>
        <v>11024.908318670894</v>
      </c>
      <c r="F78" s="9">
        <f t="shared" si="7"/>
        <v>0</v>
      </c>
      <c r="H78" s="5">
        <f t="array" ref="H78">SUMIFS(Physician_Visit_May, Physician_Visit_Practice, May!B78, Independent_Contractor_Visits,  'Physician Types'!$D$81) + SUMIFS(Physician_Minutes_May,Physician_Minutes_Practice,May!B78, Independent_Contractor_Minutes, 'Physician Types'!$D$81)/INDEX(Physician_Type_Visit_Minutes,MATCH(May!B78,Physician_Type_Practice,0))</f>
        <v>0</v>
      </c>
      <c r="I78" s="43">
        <f t="shared" ref="I78:I110" si="10">H78*INDEX(Physician_Type_Visit_Minutes,MATCH(B78,Physician_Type_Practice,0))/INDEX(Physician_Type_FTE_Minutes,MATCH(B78,Physician_Type_Practice,0))</f>
        <v>0</v>
      </c>
      <c r="J78" s="10">
        <f>E78*'Physician Types'!$E$4</f>
        <v>330.74724956012682</v>
      </c>
      <c r="K78" s="10">
        <f t="shared" si="8"/>
        <v>0</v>
      </c>
    </row>
    <row r="79" spans="1:11" x14ac:dyDescent="0.2">
      <c r="A79" s="158"/>
      <c r="B79" s="102" t="s">
        <v>79</v>
      </c>
      <c r="C79" s="5">
        <f>SUMIFS(Physician_Visit_May,Physician_Visit_Practice,May!B79,Physician_Visit_Hospitalists, "&lt;&gt;"&amp;'Physician Types'!$D$81)+SUMIFS(Physician_Visit_May,Physician_Visit_Practice,May!B79,Physician_Visit_Hospitalists,'Physician Types'!$D$81)*INDEX(Physician_Type_Hospitalists_Visit_Minutes,MATCH(May!B79,Physician_Type_Practice,0))/INDEX(Physician_Type_Visit_Minutes,MATCH(May!B79,Physician_Type_Practice,0)) +SUMIF(Physician_Minutes_Practice,May!B79,Physician_Minutes_May)/INDEX(Physician_Type_Visit_Minutes,MATCH(May!B79,Physician_Type_Practice,0))</f>
        <v>0</v>
      </c>
      <c r="D79" s="43">
        <f t="shared" si="9"/>
        <v>0</v>
      </c>
      <c r="E79" s="17">
        <f>INDEX(Physician_Type_Bed_Rate,MATCH(May!B79,Physician_Type_Practice,0))*'Hospital Input Page'!$C$4</f>
        <v>858.72891843072989</v>
      </c>
      <c r="F79" s="9">
        <f t="shared" si="7"/>
        <v>0</v>
      </c>
      <c r="H79" s="5">
        <f t="array" ref="H79">SUMIFS(Physician_Visit_May, Physician_Visit_Practice, May!B79, Independent_Contractor_Visits,  'Physician Types'!$D$81) + SUMIFS(Physician_Minutes_May,Physician_Minutes_Practice,May!B79, Independent_Contractor_Minutes, 'Physician Types'!$D$81)/INDEX(Physician_Type_Visit_Minutes,MATCH(May!B79,Physician_Type_Practice,0))</f>
        <v>0</v>
      </c>
      <c r="I79" s="43">
        <f t="shared" si="10"/>
        <v>0</v>
      </c>
      <c r="J79" s="10">
        <f>E79*'Physician Types'!$E$4</f>
        <v>25.761867552921895</v>
      </c>
      <c r="K79" s="10">
        <f t="shared" si="8"/>
        <v>0</v>
      </c>
    </row>
    <row r="80" spans="1:11" x14ac:dyDescent="0.2">
      <c r="A80" s="158">
        <v>5</v>
      </c>
      <c r="B80" s="102" t="s">
        <v>67</v>
      </c>
      <c r="C80" s="5">
        <f>SUMIFS(Physician_Visit_May,Physician_Visit_Practice,May!B80,Physician_Visit_Hospitalists, "&lt;&gt;"&amp;'Physician Types'!$D$81)+SUMIFS(Physician_Visit_May,Physician_Visit_Practice,May!B80,Physician_Visit_Hospitalists,'Physician Types'!$D$81)*INDEX(Physician_Type_Hospitalists_Visit_Minutes,MATCH(May!B80,Physician_Type_Practice,0))/INDEX(Physician_Type_Visit_Minutes,MATCH(May!B80,Physician_Type_Practice,0)) +SUMIF(Physician_Minutes_Practice,May!B80,Physician_Minutes_May)/INDEX(Physician_Type_Visit_Minutes,MATCH(May!B80,Physician_Type_Practice,0))</f>
        <v>0</v>
      </c>
      <c r="D80" s="43">
        <f t="shared" si="9"/>
        <v>0</v>
      </c>
      <c r="E80" s="17">
        <f>INDEX(Physician_Type_Bed_Rate,MATCH(May!B80,Physician_Type_Practice,0))*'Hospital Input Page'!$C$4</f>
        <v>1955.5599460627077</v>
      </c>
      <c r="F80" s="9">
        <f t="shared" si="7"/>
        <v>0</v>
      </c>
      <c r="H80" s="5">
        <f t="array" ref="H80">SUMIFS(Physician_Visit_May, Physician_Visit_Practice, May!B80, Independent_Contractor_Visits,  'Physician Types'!$D$81) + SUMIFS(Physician_Minutes_May,Physician_Minutes_Practice,May!B80, Independent_Contractor_Minutes, 'Physician Types'!$D$81)/INDEX(Physician_Type_Visit_Minutes,MATCH(May!B80,Physician_Type_Practice,0))</f>
        <v>0</v>
      </c>
      <c r="I80" s="43">
        <f t="shared" si="10"/>
        <v>0</v>
      </c>
      <c r="J80" s="10">
        <f>E80*'Physician Types'!$E$4</f>
        <v>58.666798381881229</v>
      </c>
      <c r="K80" s="10">
        <f t="shared" si="8"/>
        <v>0</v>
      </c>
    </row>
    <row r="81" spans="1:11" x14ac:dyDescent="0.2">
      <c r="A81" s="158"/>
      <c r="B81" s="102" t="s">
        <v>80</v>
      </c>
      <c r="C81" s="5">
        <f>SUMIFS(Physician_Visit_May,Physician_Visit_Practice,May!B81,Physician_Visit_Hospitalists, "&lt;&gt;"&amp;'Physician Types'!$D$81)+SUMIFS(Physician_Visit_May,Physician_Visit_Practice,May!B81,Physician_Visit_Hospitalists,'Physician Types'!$D$81)*INDEX(Physician_Type_Hospitalists_Visit_Minutes,MATCH(May!B81,Physician_Type_Practice,0))/INDEX(Physician_Type_Visit_Minutes,MATCH(May!B81,Physician_Type_Practice,0)) +SUMIF(Physician_Minutes_Practice,May!B81,Physician_Minutes_May)/INDEX(Physician_Type_Visit_Minutes,MATCH(May!B81,Physician_Type_Practice,0))</f>
        <v>0</v>
      </c>
      <c r="D81" s="43">
        <f t="shared" si="9"/>
        <v>0</v>
      </c>
      <c r="E81" s="17">
        <f>INDEX(Physician_Type_Bed_Rate,MATCH(May!B81,Physician_Type_Practice,0))*'Hospital Input Page'!$C$4</f>
        <v>493.76912809766964</v>
      </c>
      <c r="F81" s="9">
        <f t="shared" si="7"/>
        <v>0</v>
      </c>
      <c r="H81" s="5">
        <f t="array" ref="H81">SUMIFS(Physician_Visit_May, Physician_Visit_Practice, May!B81, Independent_Contractor_Visits,  'Physician Types'!$D$81) + SUMIFS(Physician_Minutes_May,Physician_Minutes_Practice,May!B81, Independent_Contractor_Minutes, 'Physician Types'!$D$81)/INDEX(Physician_Type_Visit_Minutes,MATCH(May!B81,Physician_Type_Practice,0))</f>
        <v>0</v>
      </c>
      <c r="I81" s="43">
        <f t="shared" si="10"/>
        <v>0</v>
      </c>
      <c r="J81" s="10">
        <f>E81*'Physician Types'!$E$4</f>
        <v>14.813073842930088</v>
      </c>
      <c r="K81" s="10">
        <f t="shared" si="8"/>
        <v>0</v>
      </c>
    </row>
    <row r="82" spans="1:11" x14ac:dyDescent="0.2">
      <c r="A82" s="158">
        <v>8</v>
      </c>
      <c r="B82" s="128" t="s">
        <v>139</v>
      </c>
      <c r="C82" s="5">
        <f>SUMIFS(Physician_Visit_May,Physician_Visit_Practice,May!B82,Physician_Visit_Hospitalists, "&lt;&gt;"&amp;'Physician Types'!$D$81)+SUMIFS(Physician_Visit_May,Physician_Visit_Practice,May!B82,Physician_Visit_Hospitalists,'Physician Types'!$D$81)*INDEX(Physician_Type_Hospitalists_Visit_Minutes,MATCH(May!B82,Physician_Type_Practice,0))/INDEX(Physician_Type_Visit_Minutes,MATCH(May!B82,Physician_Type_Practice,0)) +SUMIF(Physician_Minutes_Practice,May!B82,Physician_Minutes_May)/INDEX(Physician_Type_Visit_Minutes,MATCH(May!B82,Physician_Type_Practice,0))</f>
        <v>0</v>
      </c>
      <c r="D82" s="43">
        <f t="shared" si="9"/>
        <v>0</v>
      </c>
      <c r="E82" s="17">
        <f>INDEX(Physician_Type_Bed_Rate,MATCH(May!B82,Physician_Type_Practice,0))*'Hospital Input Page'!$C$4</f>
        <v>8509.2229189954141</v>
      </c>
      <c r="F82" s="9">
        <f t="shared" si="7"/>
        <v>0</v>
      </c>
      <c r="H82" s="5">
        <f t="array" ref="H82">SUMIFS(Physician_Visit_May, Physician_Visit_Practice, May!B82, Independent_Contractor_Visits,  'Physician Types'!$D$81) + SUMIFS(Physician_Minutes_May,Physician_Minutes_Practice,May!B82, Independent_Contractor_Minutes, 'Physician Types'!$D$81)/INDEX(Physician_Type_Visit_Minutes,MATCH(May!B82,Physician_Type_Practice,0))</f>
        <v>0</v>
      </c>
      <c r="I82" s="43">
        <f t="shared" si="10"/>
        <v>0</v>
      </c>
      <c r="J82" s="10">
        <f>E82*'Physician Types'!$E$4</f>
        <v>255.27668756986242</v>
      </c>
      <c r="K82" s="10">
        <f t="shared" si="8"/>
        <v>0</v>
      </c>
    </row>
    <row r="83" spans="1:11" x14ac:dyDescent="0.2">
      <c r="A83" s="158">
        <v>8</v>
      </c>
      <c r="B83" s="102" t="s">
        <v>78</v>
      </c>
      <c r="C83" s="5">
        <f>SUMIFS(Physician_Visit_May,Physician_Visit_Practice,May!B83,Physician_Visit_Hospitalists, "&lt;&gt;"&amp;'Physician Types'!$D$81)+SUMIFS(Physician_Visit_May,Physician_Visit_Practice,May!B83,Physician_Visit_Hospitalists,'Physician Types'!$D$81)*INDEX(Physician_Type_Hospitalists_Visit_Minutes,MATCH(May!B83,Physician_Type_Practice,0))/INDEX(Physician_Type_Visit_Minutes,MATCH(May!B83,Physician_Type_Practice,0)) +SUMIF(Physician_Minutes_Practice,May!B83,Physician_Minutes_May)/INDEX(Physician_Type_Visit_Minutes,MATCH(May!B83,Physician_Type_Practice,0))</f>
        <v>0</v>
      </c>
      <c r="D83" s="43">
        <f t="shared" si="9"/>
        <v>0</v>
      </c>
      <c r="E83" s="17">
        <f>INDEX(Physician_Type_Bed_Rate,MATCH(May!B83,Physician_Type_Practice,0))*'Hospital Input Page'!$C$4</f>
        <v>8509.2229189954141</v>
      </c>
      <c r="F83" s="9">
        <f t="shared" si="7"/>
        <v>0</v>
      </c>
      <c r="H83" s="5">
        <f t="array" ref="H83">SUMIFS(Physician_Visit_May, Physician_Visit_Practice, May!B83, Independent_Contractor_Visits,  'Physician Types'!$D$81) + SUMIFS(Physician_Minutes_May,Physician_Minutes_Practice,May!B83, Independent_Contractor_Minutes, 'Physician Types'!$D$81)/INDEX(Physician_Type_Visit_Minutes,MATCH(May!B83,Physician_Type_Practice,0))</f>
        <v>0</v>
      </c>
      <c r="I83" s="43">
        <f t="shared" si="10"/>
        <v>0</v>
      </c>
      <c r="J83" s="10">
        <f>E83*'Physician Types'!$E$4</f>
        <v>255.27668756986242</v>
      </c>
      <c r="K83" s="10">
        <f t="shared" si="8"/>
        <v>0</v>
      </c>
    </row>
    <row r="84" spans="1:11" x14ac:dyDescent="0.2">
      <c r="A84" s="158">
        <v>2</v>
      </c>
      <c r="B84" s="107" t="s">
        <v>47</v>
      </c>
      <c r="C84" s="5">
        <f>SUMIFS(Physician_Visit_May,Physician_Visit_Practice,May!B84,Physician_Visit_Hospitalists, "&lt;&gt;"&amp;'Physician Types'!$D$81)+SUMIFS(Physician_Visit_May,Physician_Visit_Practice,May!B84,Physician_Visit_Hospitalists,'Physician Types'!$D$81)*INDEX(Physician_Type_Hospitalists_Visit_Minutes,MATCH(May!B84,Physician_Type_Practice,0))/INDEX(Physician_Type_Visit_Minutes,MATCH(May!B84,Physician_Type_Practice,0)) +SUMIF(Physician_Minutes_Practice,May!B84,Physician_Minutes_May)/INDEX(Physician_Type_Visit_Minutes,MATCH(May!B84,Physician_Type_Practice,0))</f>
        <v>0</v>
      </c>
      <c r="D84" s="43">
        <f t="shared" si="9"/>
        <v>0</v>
      </c>
      <c r="E84" s="17">
        <f>INDEX(Physician_Type_Bed_Rate,MATCH(May!B84,Physician_Type_Practice,0))*'Hospital Input Page'!$C$4</f>
        <v>1727.2161200254454</v>
      </c>
      <c r="F84" s="9">
        <f t="shared" si="7"/>
        <v>0</v>
      </c>
      <c r="H84" s="5">
        <f t="array" ref="H84">SUMIFS(Physician_Visit_May, Physician_Visit_Practice, May!B84, Independent_Contractor_Visits,  'Physician Types'!$D$81) + SUMIFS(Physician_Minutes_May,Physician_Minutes_Practice,May!B84, Independent_Contractor_Minutes, 'Physician Types'!$D$81)/INDEX(Physician_Type_Visit_Minutes,MATCH(May!B84,Physician_Type_Practice,0))</f>
        <v>0</v>
      </c>
      <c r="I84" s="43">
        <f t="shared" si="10"/>
        <v>0</v>
      </c>
      <c r="J84" s="10">
        <f>E84*'Physician Types'!$E$4</f>
        <v>51.816483600763362</v>
      </c>
      <c r="K84" s="10">
        <f t="shared" si="8"/>
        <v>0</v>
      </c>
    </row>
    <row r="85" spans="1:11" x14ac:dyDescent="0.2">
      <c r="A85" s="158">
        <v>3</v>
      </c>
      <c r="B85" s="102" t="s">
        <v>56</v>
      </c>
      <c r="C85" s="5">
        <f>SUMIFS(Physician_Visit_May,Physician_Visit_Practice,May!B85,Physician_Visit_Hospitalists, "&lt;&gt;"&amp;'Physician Types'!$D$81)+SUMIFS(Physician_Visit_May,Physician_Visit_Practice,May!B85,Physician_Visit_Hospitalists,'Physician Types'!$D$81)*INDEX(Physician_Type_Hospitalists_Visit_Minutes,MATCH(May!B85,Physician_Type_Practice,0))/INDEX(Physician_Type_Visit_Minutes,MATCH(May!B85,Physician_Type_Practice,0)) +SUMIF(Physician_Minutes_Practice,May!B85,Physician_Minutes_May)/INDEX(Physician_Type_Visit_Minutes,MATCH(May!B85,Physician_Type_Practice,0))</f>
        <v>0</v>
      </c>
      <c r="D85" s="43">
        <f t="shared" si="9"/>
        <v>0</v>
      </c>
      <c r="E85" s="17">
        <f>INDEX(Physician_Type_Bed_Rate,MATCH(May!B85,Physician_Type_Practice,0))*'Hospital Input Page'!$C$4</f>
        <v>1842.3638613604746</v>
      </c>
      <c r="F85" s="9">
        <f t="shared" si="7"/>
        <v>0</v>
      </c>
      <c r="H85" s="5">
        <f t="array" ref="H85">SUMIFS(Physician_Visit_May, Physician_Visit_Practice, May!B85, Independent_Contractor_Visits,  'Physician Types'!$D$81) + SUMIFS(Physician_Minutes_May,Physician_Minutes_Practice,May!B85, Independent_Contractor_Minutes, 'Physician Types'!$D$81)/INDEX(Physician_Type_Visit_Minutes,MATCH(May!B85,Physician_Type_Practice,0))</f>
        <v>0</v>
      </c>
      <c r="I85" s="43">
        <f t="shared" si="10"/>
        <v>0</v>
      </c>
      <c r="J85" s="10">
        <f>E85*'Physician Types'!$E$4</f>
        <v>55.27091584081424</v>
      </c>
      <c r="K85" s="10">
        <f t="shared" si="8"/>
        <v>0</v>
      </c>
    </row>
    <row r="86" spans="1:11" x14ac:dyDescent="0.2">
      <c r="A86" s="158">
        <v>3</v>
      </c>
      <c r="B86" s="102" t="s">
        <v>57</v>
      </c>
      <c r="C86" s="5">
        <f>SUMIFS(Physician_Visit_May,Physician_Visit_Practice,May!B86,Physician_Visit_Hospitalists, "&lt;&gt;"&amp;'Physician Types'!$D$81)+SUMIFS(Physician_Visit_May,Physician_Visit_Practice,May!B86,Physician_Visit_Hospitalists,'Physician Types'!$D$81)*INDEX(Physician_Type_Hospitalists_Visit_Minutes,MATCH(May!B86,Physician_Type_Practice,0))/INDEX(Physician_Type_Visit_Minutes,MATCH(May!B86,Physician_Type_Practice,0)) +SUMIF(Physician_Minutes_Practice,May!B86,Physician_Minutes_May)/INDEX(Physician_Type_Visit_Minutes,MATCH(May!B86,Physician_Type_Practice,0))</f>
        <v>0</v>
      </c>
      <c r="D86" s="43">
        <f t="shared" si="9"/>
        <v>0</v>
      </c>
      <c r="E86" s="17">
        <f>INDEX(Physician_Type_Bed_Rate,MATCH(May!B86,Physician_Type_Practice,0))*'Hospital Input Page'!$C$4</f>
        <v>1165.1390097798767</v>
      </c>
      <c r="F86" s="9">
        <f t="shared" si="7"/>
        <v>0</v>
      </c>
      <c r="H86" s="5">
        <f t="array" ref="H86">SUMIFS(Physician_Visit_May, Physician_Visit_Practice, May!B86, Independent_Contractor_Visits,  'Physician Types'!$D$81) + SUMIFS(Physician_Minutes_May,Physician_Minutes_Practice,May!B86, Independent_Contractor_Minutes, 'Physician Types'!$D$81)/INDEX(Physician_Type_Visit_Minutes,MATCH(May!B86,Physician_Type_Practice,0))</f>
        <v>0</v>
      </c>
      <c r="I86" s="43">
        <f t="shared" si="10"/>
        <v>0</v>
      </c>
      <c r="J86" s="10">
        <f>E86*'Physician Types'!$E$4</f>
        <v>34.954170293396302</v>
      </c>
      <c r="K86" s="10">
        <f t="shared" si="8"/>
        <v>0</v>
      </c>
    </row>
    <row r="87" spans="1:11" x14ac:dyDescent="0.2">
      <c r="A87" s="158">
        <v>3</v>
      </c>
      <c r="B87" s="102" t="s">
        <v>58</v>
      </c>
      <c r="C87" s="5">
        <f>SUMIFS(Physician_Visit_May,Physician_Visit_Practice,May!B87,Physician_Visit_Hospitalists, "&lt;&gt;"&amp;'Physician Types'!$D$81)+SUMIFS(Physician_Visit_May,Physician_Visit_Practice,May!B87,Physician_Visit_Hospitalists,'Physician Types'!$D$81)*INDEX(Physician_Type_Hospitalists_Visit_Minutes,MATCH(May!B87,Physician_Type_Practice,0))/INDEX(Physician_Type_Visit_Minutes,MATCH(May!B87,Physician_Type_Practice,0)) +SUMIF(Physician_Minutes_Practice,May!B87,Physician_Minutes_May)/INDEX(Physician_Type_Visit_Minutes,MATCH(May!B87,Physician_Type_Practice,0))</f>
        <v>0</v>
      </c>
      <c r="D87" s="43">
        <f t="shared" si="9"/>
        <v>0</v>
      </c>
      <c r="E87" s="17">
        <f>INDEX(Physician_Type_Bed_Rate,MATCH(May!B87,Physician_Type_Practice,0))*'Hospital Input Page'!$C$4</f>
        <v>2406.3926282388406</v>
      </c>
      <c r="F87" s="9">
        <f t="shared" si="7"/>
        <v>0</v>
      </c>
      <c r="H87" s="5">
        <f t="array" ref="H87">SUMIFS(Physician_Visit_May, Physician_Visit_Practice, May!B87, Independent_Contractor_Visits,  'Physician Types'!$D$81) + SUMIFS(Physician_Minutes_May,Physician_Minutes_Practice,May!B87, Independent_Contractor_Minutes, 'Physician Types'!$D$81)/INDEX(Physician_Type_Visit_Minutes,MATCH(May!B87,Physician_Type_Practice,0))</f>
        <v>0</v>
      </c>
      <c r="I87" s="43">
        <f t="shared" si="10"/>
        <v>0</v>
      </c>
      <c r="J87" s="10">
        <f>E87*'Physician Types'!$E$4</f>
        <v>72.19177884716521</v>
      </c>
      <c r="K87" s="10">
        <f t="shared" si="8"/>
        <v>0</v>
      </c>
    </row>
    <row r="88" spans="1:11" x14ac:dyDescent="0.2">
      <c r="A88" s="158">
        <v>7</v>
      </c>
      <c r="B88" s="102" t="s">
        <v>73</v>
      </c>
      <c r="C88" s="5">
        <f>SUMIFS(Physician_Visit_May,Physician_Visit_Practice,May!B88,Physician_Visit_Hospitalists, "&lt;&gt;"&amp;'Physician Types'!$D$81)+SUMIFS(Physician_Visit_May,Physician_Visit_Practice,May!B88,Physician_Visit_Hospitalists,'Physician Types'!$D$81)*INDEX(Physician_Type_Hospitalists_Visit_Minutes,MATCH(May!B88,Physician_Type_Practice,0))/INDEX(Physician_Type_Visit_Minutes,MATCH(May!B88,Physician_Type_Practice,0)) +SUMIF(Physician_Minutes_Practice,May!B88,Physician_Minutes_May)/INDEX(Physician_Type_Visit_Minutes,MATCH(May!B88,Physician_Type_Practice,0))</f>
        <v>0</v>
      </c>
      <c r="D88" s="43">
        <f t="shared" si="9"/>
        <v>0</v>
      </c>
      <c r="E88" s="17">
        <f>INDEX(Physician_Type_Bed_Rate,MATCH(May!B88,Physician_Type_Practice,0))*'Hospital Input Page'!$C$4</f>
        <v>7172.3381255293916</v>
      </c>
      <c r="F88" s="9">
        <f t="shared" si="7"/>
        <v>0</v>
      </c>
      <c r="H88" s="5">
        <f t="array" ref="H88">SUMIFS(Physician_Visit_May, Physician_Visit_Practice, May!B88, Independent_Contractor_Visits,  'Physician Types'!$D$81) + SUMIFS(Physician_Minutes_May,Physician_Minutes_Practice,May!B88, Independent_Contractor_Minutes, 'Physician Types'!$D$81)/INDEX(Physician_Type_Visit_Minutes,MATCH(May!B88,Physician_Type_Practice,0))</f>
        <v>0</v>
      </c>
      <c r="I88" s="43">
        <f t="shared" si="10"/>
        <v>0</v>
      </c>
      <c r="J88" s="10">
        <f>E88*'Physician Types'!$E$4</f>
        <v>215.17014376588173</v>
      </c>
      <c r="K88" s="10">
        <f t="shared" si="8"/>
        <v>0</v>
      </c>
    </row>
    <row r="89" spans="1:11" x14ac:dyDescent="0.2">
      <c r="A89" s="158">
        <v>7</v>
      </c>
      <c r="B89" s="128" t="s">
        <v>74</v>
      </c>
      <c r="C89" s="5">
        <f>SUMIFS(Physician_Visit_May,Physician_Visit_Practice,May!B89,Physician_Visit_Hospitalists, "&lt;&gt;"&amp;'Physician Types'!$D$81)+SUMIFS(Physician_Visit_May,Physician_Visit_Practice,May!B89,Physician_Visit_Hospitalists,'Physician Types'!$D$81)*INDEX(Physician_Type_Hospitalists_Visit_Minutes,MATCH(May!B89,Physician_Type_Practice,0))/INDEX(Physician_Type_Visit_Minutes,MATCH(May!B89,Physician_Type_Practice,0)) +SUMIF(Physician_Minutes_Practice,May!B89,Physician_Minutes_May)/INDEX(Physician_Type_Visit_Minutes,MATCH(May!B89,Physician_Type_Practice,0))</f>
        <v>0</v>
      </c>
      <c r="D89" s="43">
        <f t="shared" si="9"/>
        <v>0</v>
      </c>
      <c r="E89" s="17">
        <f>INDEX(Physician_Type_Bed_Rate,MATCH(May!B89,Physician_Type_Practice,0))*'Hospital Input Page'!$C$4</f>
        <v>4073.1073926475756</v>
      </c>
      <c r="F89" s="9">
        <f t="shared" si="7"/>
        <v>0</v>
      </c>
      <c r="H89" s="5">
        <f t="array" ref="H89">SUMIFS(Physician_Visit_May, Physician_Visit_Practice, May!B89, Independent_Contractor_Visits,  'Physician Types'!$D$81) + SUMIFS(Physician_Minutes_May,Physician_Minutes_Practice,May!B89, Independent_Contractor_Minutes, 'Physician Types'!$D$81)/INDEX(Physician_Type_Visit_Minutes,MATCH(May!B89,Physician_Type_Practice,0))</f>
        <v>0</v>
      </c>
      <c r="I89" s="43">
        <f t="shared" si="10"/>
        <v>0</v>
      </c>
      <c r="J89" s="10">
        <f>E89*'Physician Types'!$E$4</f>
        <v>122.19322177942726</v>
      </c>
      <c r="K89" s="10">
        <f t="shared" si="8"/>
        <v>0</v>
      </c>
    </row>
    <row r="90" spans="1:11" x14ac:dyDescent="0.2">
      <c r="A90" s="158">
        <v>4</v>
      </c>
      <c r="B90" s="128" t="s">
        <v>146</v>
      </c>
      <c r="C90" s="5">
        <f>SUMIFS(Physician_Visit_May,Physician_Visit_Practice,May!B90,Physician_Visit_Hospitalists, "&lt;&gt;"&amp;'Physician Types'!$D$81)+SUMIFS(Physician_Visit_May,Physician_Visit_Practice,May!B90,Physician_Visit_Hospitalists,'Physician Types'!$D$81)*INDEX(Physician_Type_Hospitalists_Visit_Minutes,MATCH(May!B90,Physician_Type_Practice,0))/INDEX(Physician_Type_Visit_Minutes,MATCH(May!B90,Physician_Type_Practice,0)) +SUMIF(Physician_Minutes_Practice,May!B90,Physician_Minutes_May)/INDEX(Physician_Type_Visit_Minutes,MATCH(May!B90,Physician_Type_Practice,0))</f>
        <v>0</v>
      </c>
      <c r="D90" s="43">
        <f t="shared" si="9"/>
        <v>0</v>
      </c>
      <c r="E90" s="17">
        <f>INDEX(Physician_Type_Bed_Rate,MATCH(May!B90,Physician_Type_Practice,0))*'Hospital Input Page'!$C$4</f>
        <v>2997.7445879763663</v>
      </c>
      <c r="F90" s="9">
        <f t="shared" si="7"/>
        <v>0</v>
      </c>
      <c r="H90" s="5">
        <f t="array" ref="H90">SUMIFS(Physician_Visit_May, Physician_Visit_Practice, May!B90, Independent_Contractor_Visits,  'Physician Types'!$D$81) + SUMIFS(Physician_Minutes_May,Physician_Minutes_Practice,May!B90, Independent_Contractor_Minutes, 'Physician Types'!$D$81)/INDEX(Physician_Type_Visit_Minutes,MATCH(May!B90,Physician_Type_Practice,0))</f>
        <v>0</v>
      </c>
      <c r="I90" s="43">
        <f t="shared" si="10"/>
        <v>0</v>
      </c>
      <c r="J90" s="10">
        <f>E90*'Physician Types'!$E$4</f>
        <v>89.932337639290992</v>
      </c>
      <c r="K90" s="10">
        <f t="shared" si="8"/>
        <v>0</v>
      </c>
    </row>
    <row r="91" spans="1:11" x14ac:dyDescent="0.2">
      <c r="A91" s="158">
        <v>6</v>
      </c>
      <c r="B91" s="128" t="s">
        <v>71</v>
      </c>
      <c r="C91" s="5">
        <f>SUMIFS(Physician_Visit_May,Physician_Visit_Practice,May!B91,Physician_Visit_Hospitalists, "&lt;&gt;"&amp;'Physician Types'!$D$81)+SUMIFS(Physician_Visit_May,Physician_Visit_Practice,May!B91,Physician_Visit_Hospitalists,'Physician Types'!$D$81)*INDEX(Physician_Type_Hospitalists_Visit_Minutes,MATCH(May!B91,Physician_Type_Practice,0))/INDEX(Physician_Type_Visit_Minutes,MATCH(May!B91,Physician_Type_Practice,0)) +SUMIF(Physician_Minutes_Practice,May!B91,Physician_Minutes_May)/INDEX(Physician_Type_Visit_Minutes,MATCH(May!B91,Physician_Type_Practice,0))</f>
        <v>0</v>
      </c>
      <c r="D91" s="43">
        <f t="shared" si="9"/>
        <v>0</v>
      </c>
      <c r="E91" s="17">
        <f>INDEX(Physician_Type_Bed_Rate,MATCH(May!B91,Physician_Type_Practice,0))*'Hospital Input Page'!$C$4</f>
        <v>4912.3197447503335</v>
      </c>
      <c r="F91" s="9">
        <f t="shared" si="7"/>
        <v>0</v>
      </c>
      <c r="H91" s="5">
        <f t="array" ref="H91">SUMIFS(Physician_Visit_May, Physician_Visit_Practice, May!B91, Independent_Contractor_Visits,  'Physician Types'!$D$81) + SUMIFS(Physician_Minutes_May,Physician_Minutes_Practice,May!B91, Independent_Contractor_Minutes, 'Physician Types'!$D$81)/INDEX(Physician_Type_Visit_Minutes,MATCH(May!B91,Physician_Type_Practice,0))</f>
        <v>0</v>
      </c>
      <c r="I91" s="43">
        <f t="shared" si="10"/>
        <v>0</v>
      </c>
      <c r="J91" s="10">
        <f>E91*'Physician Types'!$E$4</f>
        <v>147.36959234251</v>
      </c>
      <c r="K91" s="10">
        <f t="shared" si="8"/>
        <v>0</v>
      </c>
    </row>
    <row r="92" spans="1:11" x14ac:dyDescent="0.2">
      <c r="A92" s="158">
        <v>4</v>
      </c>
      <c r="B92" s="128" t="s">
        <v>152</v>
      </c>
      <c r="C92" s="5">
        <f>SUMIFS(Physician_Visit_May,Physician_Visit_Practice,May!B92,Physician_Visit_Hospitalists, "&lt;&gt;"&amp;'Physician Types'!$D$81)+SUMIFS(Physician_Visit_May,Physician_Visit_Practice,May!B92,Physician_Visit_Hospitalists,'Physician Types'!$D$81)*INDEX(Physician_Type_Hospitalists_Visit_Minutes,MATCH(May!B92,Physician_Type_Practice,0))/INDEX(Physician_Type_Visit_Minutes,MATCH(May!B92,Physician_Type_Practice,0)) +SUMIF(Physician_Minutes_Practice,May!B92,Physician_Minutes_May)/INDEX(Physician_Type_Visit_Minutes,MATCH(May!B92,Physician_Type_Practice,0))</f>
        <v>0</v>
      </c>
      <c r="D92" s="43">
        <f t="shared" si="9"/>
        <v>0</v>
      </c>
      <c r="E92" s="17">
        <f>IFERROR(INDEX(Physician_Type_Bed_Rate,MATCH(May!B92,Physician_Type_Practice,0))*'Hospital Input Page'!$C$4,0)</f>
        <v>2664.0113037680594</v>
      </c>
      <c r="F92" s="9">
        <f t="shared" si="7"/>
        <v>0</v>
      </c>
      <c r="H92" s="5">
        <f t="array" ref="H92">SUMIFS(Physician_Visit_May, Physician_Visit_Practice, May!B92, Independent_Contractor_Visits,  'Physician Types'!$D$81) + SUMIFS(Physician_Minutes_May,Physician_Minutes_Practice,May!B92, Independent_Contractor_Minutes, 'Physician Types'!$D$81)/INDEX(Physician_Type_Visit_Minutes,MATCH(May!B92,Physician_Type_Practice,0))</f>
        <v>0</v>
      </c>
      <c r="I92" s="43">
        <f t="shared" si="10"/>
        <v>0</v>
      </c>
      <c r="J92" s="10">
        <f>E92*'Physician Types'!$E$4</f>
        <v>79.920339113041777</v>
      </c>
      <c r="K92" s="10">
        <f t="shared" si="8"/>
        <v>0</v>
      </c>
    </row>
    <row r="93" spans="1:11" x14ac:dyDescent="0.2">
      <c r="A93" s="158">
        <v>1</v>
      </c>
      <c r="B93" s="107" t="s">
        <v>30</v>
      </c>
      <c r="C93" s="5">
        <f>SUMIFS(Physician_Visit_May,Physician_Visit_Practice,May!B93,Physician_Visit_Hospitalists, "&lt;&gt;"&amp;'Physician Types'!$D$81)+SUMIFS(Physician_Visit_May,Physician_Visit_Practice,May!B93,Physician_Visit_Hospitalists,'Physician Types'!$D$81)*INDEX(Physician_Type_Hospitalists_Visit_Minutes,MATCH(May!B93,Physician_Type_Practice,0))/INDEX(Physician_Type_Visit_Minutes,MATCH(May!B93,Physician_Type_Practice,0)) +SUMIF(Physician_Minutes_Practice,May!B93,Physician_Minutes_May)/INDEX(Physician_Type_Visit_Minutes,MATCH(May!B93,Physician_Type_Practice,0))</f>
        <v>0</v>
      </c>
      <c r="D93" s="43">
        <f t="shared" si="9"/>
        <v>0</v>
      </c>
      <c r="E93" s="17">
        <f>INDEX(Physician_Type_Bed_Rate,MATCH(May!B93,Physician_Type_Practice,0))*'Hospital Input Page'!$C$4</f>
        <v>2544.9602491674359</v>
      </c>
      <c r="F93" s="9">
        <f t="shared" si="7"/>
        <v>0</v>
      </c>
      <c r="H93" s="5">
        <f t="array" ref="H93">SUMIFS(Physician_Visit_May, Physician_Visit_Practice, May!B93, Independent_Contractor_Visits,  'Physician Types'!$D$81) + SUMIFS(Physician_Minutes_May,Physician_Minutes_Practice,May!B93, Independent_Contractor_Minutes, 'Physician Types'!$D$81)/INDEX(Physician_Type_Visit_Minutes,MATCH(May!B93,Physician_Type_Practice,0))</f>
        <v>0</v>
      </c>
      <c r="I93" s="43">
        <f t="shared" si="10"/>
        <v>0</v>
      </c>
      <c r="J93" s="10">
        <f>E93*'Physician Types'!$E$4</f>
        <v>76.348807475023079</v>
      </c>
      <c r="K93" s="10">
        <f t="shared" si="8"/>
        <v>0</v>
      </c>
    </row>
    <row r="94" spans="1:11" x14ac:dyDescent="0.2">
      <c r="A94" s="158">
        <v>1</v>
      </c>
      <c r="B94" s="107" t="s">
        <v>31</v>
      </c>
      <c r="C94" s="5">
        <f>SUMIFS(Physician_Visit_May,Physician_Visit_Practice,May!B94,Physician_Visit_Hospitalists, "&lt;&gt;"&amp;'Physician Types'!$D$81)+SUMIFS(Physician_Visit_May,Physician_Visit_Practice,May!B94,Physician_Visit_Hospitalists,'Physician Types'!$D$81)*INDEX(Physician_Type_Hospitalists_Visit_Minutes,MATCH(May!B94,Physician_Type_Practice,0))/INDEX(Physician_Type_Visit_Minutes,MATCH(May!B94,Physician_Type_Practice,0)) +SUMIF(Physician_Minutes_Practice,May!B94,Physician_Minutes_May)/INDEX(Physician_Type_Visit_Minutes,MATCH(May!B94,Physician_Type_Practice,0))</f>
        <v>0</v>
      </c>
      <c r="D94" s="43">
        <f t="shared" si="9"/>
        <v>0</v>
      </c>
      <c r="E94" s="17">
        <f>INDEX(Physician_Type_Bed_Rate,MATCH(May!B94,Physician_Type_Practice,0))*'Hospital Input Page'!$C$4</f>
        <v>1258.818528154138</v>
      </c>
      <c r="F94" s="9">
        <f t="shared" si="7"/>
        <v>0</v>
      </c>
      <c r="H94" s="5">
        <f t="array" ref="H94">SUMIFS(Physician_Visit_May, Physician_Visit_Practice, May!B94, Independent_Contractor_Visits,  'Physician Types'!$D$81) + SUMIFS(Physician_Minutes_May,Physician_Minutes_Practice,May!B94, Independent_Contractor_Minutes, 'Physician Types'!$D$81)/INDEX(Physician_Type_Visit_Minutes,MATCH(May!B94,Physician_Type_Practice,0))</f>
        <v>0</v>
      </c>
      <c r="I94" s="43">
        <f t="shared" si="10"/>
        <v>0</v>
      </c>
      <c r="J94" s="10">
        <f>E94*'Physician Types'!$E$4</f>
        <v>37.764555844624141</v>
      </c>
      <c r="K94" s="10">
        <f t="shared" si="8"/>
        <v>0</v>
      </c>
    </row>
    <row r="95" spans="1:11" x14ac:dyDescent="0.2">
      <c r="A95" s="158">
        <v>2</v>
      </c>
      <c r="B95" s="107" t="s">
        <v>48</v>
      </c>
      <c r="C95" s="5">
        <f>SUMIFS(Physician_Visit_May,Physician_Visit_Practice,May!B95,Physician_Visit_Hospitalists, "&lt;&gt;"&amp;'Physician Types'!$D$81)+SUMIFS(Physician_Visit_May,Physician_Visit_Practice,May!B95,Physician_Visit_Hospitalists,'Physician Types'!$D$81)*INDEX(Physician_Type_Hospitalists_Visit_Minutes,MATCH(May!B95,Physician_Type_Practice,0))/INDEX(Physician_Type_Visit_Minutes,MATCH(May!B95,Physician_Type_Practice,0)) +SUMIF(Physician_Minutes_Practice,May!B95,Physician_Minutes_May)/INDEX(Physician_Type_Visit_Minutes,MATCH(May!B95,Physician_Type_Practice,0))</f>
        <v>0</v>
      </c>
      <c r="D95" s="43">
        <f t="shared" ref="D95" si="11">C95*INDEX(Physician_Type_Visit_Minutes,MATCH(B95,Physician_Type_Practice,0))/INDEX(Physician_Type_FTE_Minutes,MATCH(B95,Physician_Type_Practice,0))</f>
        <v>0</v>
      </c>
      <c r="E95" s="17">
        <f>INDEX(Physician_Type_Bed_Rate,MATCH(May!B95,Physician_Type_Practice,0))*'Hospital Input Page'!$C$4</f>
        <v>2336.1329894581445</v>
      </c>
      <c r="F95" s="9">
        <f t="shared" ref="F95" si="12">D95*E95</f>
        <v>0</v>
      </c>
      <c r="H95" s="5">
        <f t="array" ref="H95">SUMIFS(Physician_Visit_May, Physician_Visit_Practice, May!B95, Independent_Contractor_Visits,  'Physician Types'!$D$81) + SUMIFS(Physician_Minutes_May,Physician_Minutes_Practice,May!B95, Independent_Contractor_Minutes, 'Physician Types'!$D$81)/INDEX(Physician_Type_Visit_Minutes,MATCH(May!B95,Physician_Type_Practice,0))</f>
        <v>0</v>
      </c>
      <c r="I95" s="43">
        <f t="shared" ref="I95" si="13">H95*INDEX(Physician_Type_Visit_Minutes,MATCH(B95,Physician_Type_Practice,0))/INDEX(Physician_Type_FTE_Minutes,MATCH(B95,Physician_Type_Practice,0))</f>
        <v>0</v>
      </c>
      <c r="J95" s="10">
        <f>E95*'Physician Types'!$E$4</f>
        <v>70.083989683744335</v>
      </c>
      <c r="K95" s="10">
        <f t="shared" ref="K95" si="14">I95*J95</f>
        <v>0</v>
      </c>
    </row>
    <row r="96" spans="1:11" x14ac:dyDescent="0.2">
      <c r="A96" s="158">
        <v>2</v>
      </c>
      <c r="B96" s="107" t="s">
        <v>49</v>
      </c>
      <c r="C96" s="5">
        <f>SUMIFS(Physician_Visit_May,Physician_Visit_Practice,May!B96,Physician_Visit_Hospitalists, "&lt;&gt;"&amp;'Physician Types'!$D$81)+SUMIFS(Physician_Visit_May,Physician_Visit_Practice,May!B96,Physician_Visit_Hospitalists,'Physician Types'!$D$81)*INDEX(Physician_Type_Hospitalists_Visit_Minutes,MATCH(May!B96,Physician_Type_Practice,0))/INDEX(Physician_Type_Visit_Minutes,MATCH(May!B96,Physician_Type_Practice,0)) +SUMIF(Physician_Minutes_Practice,May!B96,Physician_Minutes_May)/INDEX(Physician_Type_Visit_Minutes,MATCH(May!B96,Physician_Type_Practice,0))</f>
        <v>0</v>
      </c>
      <c r="D96" s="43">
        <f t="shared" si="9"/>
        <v>0</v>
      </c>
      <c r="E96" s="17">
        <f>INDEX(Physician_Type_Bed_Rate,MATCH(May!B96,Physician_Type_Practice,0))*'Hospital Input Page'!$C$4</f>
        <v>1727.2161200254454</v>
      </c>
      <c r="F96" s="9">
        <f t="shared" si="7"/>
        <v>0</v>
      </c>
      <c r="H96" s="5">
        <f t="array" ref="H96">SUMIFS(Physician_Visit_May, Physician_Visit_Practice, May!B96, Independent_Contractor_Visits,  'Physician Types'!$D$81) + SUMIFS(Physician_Minutes_May,Physician_Minutes_Practice,May!B96, Independent_Contractor_Minutes, 'Physician Types'!$D$81)/INDEX(Physician_Type_Visit_Minutes,MATCH(May!B96,Physician_Type_Practice,0))</f>
        <v>0</v>
      </c>
      <c r="I96" s="43">
        <f t="shared" si="10"/>
        <v>0</v>
      </c>
      <c r="J96" s="10">
        <f>E96*'Physician Types'!$E$4</f>
        <v>51.816483600763362</v>
      </c>
      <c r="K96" s="10">
        <f t="shared" si="8"/>
        <v>0</v>
      </c>
    </row>
    <row r="97" spans="1:11" x14ac:dyDescent="0.2">
      <c r="A97" s="158">
        <v>1</v>
      </c>
      <c r="B97" s="107" t="s">
        <v>32</v>
      </c>
      <c r="C97" s="5">
        <f>SUMIFS(Physician_Visit_May,Physician_Visit_Practice,May!B97,Physician_Visit_Hospitalists, "&lt;&gt;"&amp;'Physician Types'!$D$81)+SUMIFS(Physician_Visit_May,Physician_Visit_Practice,May!B97,Physician_Visit_Hospitalists,'Physician Types'!$D$81)*INDEX(Physician_Type_Hospitalists_Visit_Minutes,MATCH(May!B97,Physician_Type_Practice,0))/INDEX(Physician_Type_Visit_Minutes,MATCH(May!B97,Physician_Type_Practice,0)) +SUMIF(Physician_Minutes_Practice,May!B97,Physician_Minutes_May)/INDEX(Physician_Type_Visit_Minutes,MATCH(May!B97,Physician_Type_Practice,0))</f>
        <v>0</v>
      </c>
      <c r="D97" s="43">
        <f t="shared" si="9"/>
        <v>0</v>
      </c>
      <c r="E97" s="17">
        <f>INDEX(Physician_Type_Bed_Rate,MATCH(May!B97,Physician_Type_Practice,0))*'Hospital Input Page'!$C$4</f>
        <v>1297.8516608100804</v>
      </c>
      <c r="F97" s="9">
        <f t="shared" si="7"/>
        <v>0</v>
      </c>
      <c r="H97" s="5">
        <f t="array" ref="H97">SUMIFS(Physician_Visit_May, Physician_Visit_Practice, May!B97, Independent_Contractor_Visits,  'Physician Types'!$D$81) + SUMIFS(Physician_Minutes_May,Physician_Minutes_Practice,May!B97, Independent_Contractor_Minutes, 'Physician Types'!$D$81)/INDEX(Physician_Type_Visit_Minutes,MATCH(May!B97,Physician_Type_Practice,0))</f>
        <v>0</v>
      </c>
      <c r="I97" s="43">
        <f t="shared" si="10"/>
        <v>0</v>
      </c>
      <c r="J97" s="10">
        <f>E97*'Physician Types'!$E$4</f>
        <v>38.935549824302413</v>
      </c>
      <c r="K97" s="10">
        <f t="shared" si="8"/>
        <v>0</v>
      </c>
    </row>
    <row r="98" spans="1:11" x14ac:dyDescent="0.2">
      <c r="A98" s="158"/>
      <c r="B98" s="102" t="s">
        <v>20</v>
      </c>
      <c r="C98" s="5">
        <f>SUMIFS(Physician_Visit_May,Physician_Visit_Practice,May!B98,Physician_Visit_Hospitalists, "&lt;&gt;"&amp;'Physician Types'!$D$81)+SUMIFS(Physician_Visit_May,Physician_Visit_Practice,May!B98,Physician_Visit_Hospitalists,'Physician Types'!$D$81)*INDEX(Physician_Type_Hospitalists_Visit_Minutes,MATCH(May!B98,Physician_Type_Practice,0))/INDEX(Physician_Type_Visit_Minutes,MATCH(May!B98,Physician_Type_Practice,0)) +SUMIF(Physician_Minutes_Practice,May!B98,Physician_Minutes_May)/INDEX(Physician_Type_Visit_Minutes,MATCH(May!B98,Physician_Type_Practice,0))</f>
        <v>350</v>
      </c>
      <c r="D98" s="43">
        <f t="shared" si="9"/>
        <v>0.67308986711282903</v>
      </c>
      <c r="E98" s="17">
        <f>INDEX(Physician_Type_Bed_Rate,MATCH(May!B98,Physician_Type_Practice,0))*'Hospital Input Page'!$C$4</f>
        <v>493.76912809766964</v>
      </c>
      <c r="F98" s="9">
        <f t="shared" si="7"/>
        <v>332.35099681567789</v>
      </c>
      <c r="H98" s="5">
        <f t="array" ref="H98">SUMIFS(Physician_Visit_May, Physician_Visit_Practice, May!B98, Independent_Contractor_Visits,  'Physician Types'!$D$81) + SUMIFS(Physician_Minutes_May,Physician_Minutes_Practice,May!B98, Independent_Contractor_Minutes, 'Physician Types'!$D$81)/INDEX(Physician_Type_Visit_Minutes,MATCH(May!B98,Physician_Type_Practice,0))</f>
        <v>0</v>
      </c>
      <c r="I98" s="43">
        <f t="shared" si="10"/>
        <v>0</v>
      </c>
      <c r="J98" s="10">
        <f>E98*'Physician Types'!$E$4</f>
        <v>14.813073842930088</v>
      </c>
      <c r="K98" s="10">
        <f t="shared" si="8"/>
        <v>0</v>
      </c>
    </row>
    <row r="99" spans="1:11" x14ac:dyDescent="0.2">
      <c r="A99" s="158">
        <v>1</v>
      </c>
      <c r="B99" s="107" t="s">
        <v>33</v>
      </c>
      <c r="C99" s="5">
        <f>SUMIFS(Physician_Visit_May,Physician_Visit_Practice,May!B99,Physician_Visit_Hospitalists, "&lt;&gt;"&amp;'Physician Types'!$D$81)+SUMIFS(Physician_Visit_May,Physician_Visit_Practice,May!B99,Physician_Visit_Hospitalists,'Physician Types'!$D$81)*INDEX(Physician_Type_Hospitalists_Visit_Minutes,MATCH(May!B99,Physician_Type_Practice,0))/INDEX(Physician_Type_Visit_Minutes,MATCH(May!B99,Physician_Type_Practice,0)) +SUMIF(Physician_Minutes_Practice,May!B99,Physician_Minutes_May)/INDEX(Physician_Type_Visit_Minutes,MATCH(May!B99,Physician_Type_Practice,0))</f>
        <v>0</v>
      </c>
      <c r="D99" s="43">
        <f t="shared" si="9"/>
        <v>0</v>
      </c>
      <c r="E99" s="17">
        <f>INDEX(Physician_Type_Bed_Rate,MATCH(May!B99,Physician_Type_Practice,0))*'Hospital Input Page'!$C$4</f>
        <v>1268.5768113181236</v>
      </c>
      <c r="F99" s="9">
        <f t="shared" si="7"/>
        <v>0</v>
      </c>
      <c r="H99" s="5">
        <f t="array" ref="H99">SUMIFS(Physician_Visit_May, Physician_Visit_Practice, May!B99, Independent_Contractor_Visits,  'Physician Types'!$D$81) + SUMIFS(Physician_Minutes_May,Physician_Minutes_Practice,May!B99, Independent_Contractor_Minutes, 'Physician Types'!$D$81)/INDEX(Physician_Type_Visit_Minutes,MATCH(May!B99,Physician_Type_Practice,0))</f>
        <v>0</v>
      </c>
      <c r="I99" s="43">
        <f t="shared" si="10"/>
        <v>0</v>
      </c>
      <c r="J99" s="10">
        <f>E99*'Physician Types'!$E$4</f>
        <v>38.057304339543705</v>
      </c>
      <c r="K99" s="10">
        <f t="shared" si="8"/>
        <v>0</v>
      </c>
    </row>
    <row r="100" spans="1:11" x14ac:dyDescent="0.2">
      <c r="A100" s="158">
        <v>2</v>
      </c>
      <c r="B100" s="107" t="s">
        <v>50</v>
      </c>
      <c r="C100" s="5">
        <f>SUMIFS(Physician_Visit_May,Physician_Visit_Practice,May!B100,Physician_Visit_Hospitalists, "&lt;&gt;"&amp;'Physician Types'!$D$81)+SUMIFS(Physician_Visit_May,Physician_Visit_Practice,May!B100,Physician_Visit_Hospitalists,'Physician Types'!$D$81)*INDEX(Physician_Type_Hospitalists_Visit_Minutes,MATCH(May!B100,Physician_Type_Practice,0))/INDEX(Physician_Type_Visit_Minutes,MATCH(May!B100,Physician_Type_Practice,0)) +SUMIF(Physician_Minutes_Practice,May!B100,Physician_Minutes_May)/INDEX(Physician_Type_Visit_Minutes,MATCH(May!B100,Physician_Type_Practice,0))</f>
        <v>0</v>
      </c>
      <c r="D100" s="43">
        <f t="shared" si="9"/>
        <v>0</v>
      </c>
      <c r="E100" s="17">
        <f>INDEX(Physician_Type_Bed_Rate,MATCH(May!B100,Physician_Type_Practice,0))*'Hospital Input Page'!$C$4</f>
        <v>2529.3469961050587</v>
      </c>
      <c r="F100" s="9">
        <f t="shared" si="7"/>
        <v>0</v>
      </c>
      <c r="H100" s="5">
        <f t="array" ref="H100">SUMIFS(Physician_Visit_May, Physician_Visit_Practice, May!B100, Independent_Contractor_Visits,  'Physician Types'!$D$81) + SUMIFS(Physician_Minutes_May,Physician_Minutes_Practice,May!B100, Independent_Contractor_Minutes, 'Physician Types'!$D$81)/INDEX(Physician_Type_Visit_Minutes,MATCH(May!B100,Physician_Type_Practice,0))</f>
        <v>0</v>
      </c>
      <c r="I100" s="43">
        <f t="shared" si="10"/>
        <v>0</v>
      </c>
      <c r="J100" s="10">
        <f>E100*'Physician Types'!$E$4</f>
        <v>75.880409883151756</v>
      </c>
      <c r="K100" s="10">
        <f t="shared" si="8"/>
        <v>0</v>
      </c>
    </row>
    <row r="101" spans="1:11" x14ac:dyDescent="0.2">
      <c r="A101" s="158">
        <v>2</v>
      </c>
      <c r="B101" s="107" t="s">
        <v>51</v>
      </c>
      <c r="C101" s="5">
        <f>SUMIFS(Physician_Visit_May,Physician_Visit_Practice,May!B101,Physician_Visit_Hospitalists, "&lt;&gt;"&amp;'Physician Types'!$D$81)+SUMIFS(Physician_Visit_May,Physician_Visit_Practice,May!B101,Physician_Visit_Hospitalists,'Physician Types'!$D$81)*INDEX(Physician_Type_Hospitalists_Visit_Minutes,MATCH(May!B101,Physician_Type_Practice,0))/INDEX(Physician_Type_Visit_Minutes,MATCH(May!B101,Physician_Type_Practice,0)) +SUMIF(Physician_Minutes_Practice,May!B101,Physician_Minutes_May)/INDEX(Physician_Type_Visit_Minutes,MATCH(May!B101,Physician_Type_Practice,0))</f>
        <v>0</v>
      </c>
      <c r="D101" s="43">
        <f t="shared" si="9"/>
        <v>0</v>
      </c>
      <c r="E101" s="17">
        <f>INDEX(Physician_Type_Bed_Rate,MATCH(May!B101,Physician_Type_Practice,0))*'Hospital Input Page'!$C$4</f>
        <v>1887.2519639148086</v>
      </c>
      <c r="F101" s="9">
        <f t="shared" si="7"/>
        <v>0</v>
      </c>
      <c r="H101" s="5">
        <f t="array" ref="H101">SUMIFS(Physician_Visit_May, Physician_Visit_Practice, May!B101, Independent_Contractor_Visits,  'Physician Types'!$D$81) + SUMIFS(Physician_Minutes_May,Physician_Minutes_Practice,May!B101, Independent_Contractor_Minutes, 'Physician Types'!$D$81)/INDEX(Physician_Type_Visit_Minutes,MATCH(May!B101,Physician_Type_Practice,0))</f>
        <v>0</v>
      </c>
      <c r="I101" s="43">
        <f t="shared" si="10"/>
        <v>0</v>
      </c>
      <c r="J101" s="10">
        <f>E101*'Physician Types'!$E$4</f>
        <v>56.617558917444256</v>
      </c>
      <c r="K101" s="10">
        <f t="shared" si="8"/>
        <v>0</v>
      </c>
    </row>
    <row r="102" spans="1:11" x14ac:dyDescent="0.2">
      <c r="A102" s="158">
        <v>2</v>
      </c>
      <c r="B102" s="107" t="s">
        <v>52</v>
      </c>
      <c r="C102" s="5">
        <f>SUMIFS(Physician_Visit_May,Physician_Visit_Practice,May!B102,Physician_Visit_Hospitalists, "&lt;&gt;"&amp;'Physician Types'!$D$81)+SUMIFS(Physician_Visit_May,Physician_Visit_Practice,May!B102,Physician_Visit_Hospitalists,'Physician Types'!$D$81)*INDEX(Physician_Type_Hospitalists_Visit_Minutes,MATCH(May!B102,Physician_Type_Practice,0))/INDEX(Physician_Type_Visit_Minutes,MATCH(May!B102,Physician_Type_Practice,0)) +SUMIF(Physician_Minutes_Practice,May!B102,Physician_Minutes_May)/INDEX(Physician_Type_Visit_Minutes,MATCH(May!B102,Physician_Type_Practice,0))</f>
        <v>0</v>
      </c>
      <c r="D102" s="43">
        <f t="shared" si="9"/>
        <v>0</v>
      </c>
      <c r="E102" s="17">
        <f>INDEX(Physician_Type_Bed_Rate,MATCH(May!B102,Physician_Type_Practice,0))*'Hospital Input Page'!$C$4</f>
        <v>2088.2725970929114</v>
      </c>
      <c r="F102" s="9">
        <f t="shared" si="7"/>
        <v>0</v>
      </c>
      <c r="H102" s="5">
        <f t="array" ref="H102">SUMIFS(Physician_Visit_May, Physician_Visit_Practice, May!B102, Independent_Contractor_Visits,  'Physician Types'!$D$81) + SUMIFS(Physician_Minutes_May,Physician_Minutes_Practice,May!B102, Independent_Contractor_Minutes, 'Physician Types'!$D$81)/INDEX(Physician_Type_Visit_Minutes,MATCH(May!B102,Physician_Type_Practice,0))</f>
        <v>0</v>
      </c>
      <c r="I102" s="43">
        <f t="shared" si="10"/>
        <v>0</v>
      </c>
      <c r="J102" s="10">
        <f>E102*'Physician Types'!$E$4</f>
        <v>62.648177912787339</v>
      </c>
      <c r="K102" s="10">
        <f t="shared" si="8"/>
        <v>0</v>
      </c>
    </row>
    <row r="103" spans="1:11" x14ac:dyDescent="0.2">
      <c r="A103" s="158">
        <v>4</v>
      </c>
      <c r="B103" s="107" t="s">
        <v>52</v>
      </c>
      <c r="C103" s="5">
        <f>SUMIFS(Physician_Visit_May,Physician_Visit_Practice,May!B103,Physician_Visit_Hospitalists, "&lt;&gt;"&amp;'Physician Types'!$D$81)+SUMIFS(Physician_Visit_May,Physician_Visit_Practice,May!B103,Physician_Visit_Hospitalists,'Physician Types'!$D$81)*INDEX(Physician_Type_Hospitalists_Visit_Minutes,MATCH(May!B103,Physician_Type_Practice,0))/INDEX(Physician_Type_Visit_Minutes,MATCH(May!B103,Physician_Type_Practice,0)) +SUMIF(Physician_Minutes_Practice,May!B103,Physician_Minutes_May)/INDEX(Physician_Type_Visit_Minutes,MATCH(May!B103,Physician_Type_Practice,0))</f>
        <v>0</v>
      </c>
      <c r="D103" s="43">
        <f t="shared" si="9"/>
        <v>0</v>
      </c>
      <c r="E103" s="17">
        <f>INDEX(Physician_Type_Bed_Rate,MATCH(May!B103,Physician_Type_Practice,0))*'Hospital Input Page'!$C$4</f>
        <v>2088.2725970929114</v>
      </c>
      <c r="F103" s="9">
        <f t="shared" si="7"/>
        <v>0</v>
      </c>
      <c r="H103" s="5">
        <f t="array" ref="H103">SUMIFS(Physician_Visit_May, Physician_Visit_Practice, May!B103, Independent_Contractor_Visits,  'Physician Types'!$D$81) + SUMIFS(Physician_Minutes_May,Physician_Minutes_Practice,May!B103, Independent_Contractor_Minutes, 'Physician Types'!$D$81)/INDEX(Physician_Type_Visit_Minutes,MATCH(May!B103,Physician_Type_Practice,0))</f>
        <v>0</v>
      </c>
      <c r="I103" s="43">
        <f t="shared" si="10"/>
        <v>0</v>
      </c>
      <c r="J103" s="10">
        <f>E103*'Physician Types'!$E$4</f>
        <v>62.648177912787339</v>
      </c>
      <c r="K103" s="10">
        <f t="shared" si="8"/>
        <v>0</v>
      </c>
    </row>
    <row r="104" spans="1:11" x14ac:dyDescent="0.2">
      <c r="A104" s="158">
        <v>5</v>
      </c>
      <c r="B104" s="102" t="s">
        <v>68</v>
      </c>
      <c r="C104" s="5">
        <f>SUMIFS(Physician_Visit_May,Physician_Visit_Practice,May!B104,Physician_Visit_Hospitalists, "&lt;&gt;"&amp;'Physician Types'!$D$81)+SUMIFS(Physician_Visit_May,Physician_Visit_Practice,May!B104,Physician_Visit_Hospitalists,'Physician Types'!$D$81)*INDEX(Physician_Type_Hospitalists_Visit_Minutes,MATCH(May!B104,Physician_Type_Practice,0))/INDEX(Physician_Type_Visit_Minutes,MATCH(May!B104,Physician_Type_Practice,0)) +SUMIF(Physician_Minutes_Practice,May!B104,Physician_Minutes_May)/INDEX(Physician_Type_Visit_Minutes,MATCH(May!B104,Physician_Type_Practice,0))</f>
        <v>0</v>
      </c>
      <c r="D104" s="43">
        <f t="shared" si="9"/>
        <v>0</v>
      </c>
      <c r="E104" s="17">
        <f>INDEX(Physician_Type_Bed_Rate,MATCH(May!B104,Physician_Type_Practice,0))*'Hospital Input Page'!$C$4</f>
        <v>2708.8994063223927</v>
      </c>
      <c r="F104" s="9">
        <f t="shared" si="7"/>
        <v>0</v>
      </c>
      <c r="H104" s="5">
        <f t="array" ref="H104">SUMIFS(Physician_Visit_May, Physician_Visit_Practice, May!B104, Independent_Contractor_Visits,  'Physician Types'!$D$81) + SUMIFS(Physician_Minutes_May,Physician_Minutes_Practice,May!B104, Independent_Contractor_Minutes, 'Physician Types'!$D$81)/INDEX(Physician_Type_Visit_Minutes,MATCH(May!B104,Physician_Type_Practice,0))</f>
        <v>0</v>
      </c>
      <c r="I104" s="43">
        <f t="shared" si="10"/>
        <v>0</v>
      </c>
      <c r="J104" s="10">
        <f>E104*'Physician Types'!$E$4</f>
        <v>81.266982189671779</v>
      </c>
      <c r="K104" s="10">
        <f t="shared" si="8"/>
        <v>0</v>
      </c>
    </row>
    <row r="105" spans="1:11" x14ac:dyDescent="0.2">
      <c r="A105" s="158">
        <v>2</v>
      </c>
      <c r="B105" s="107" t="s">
        <v>53</v>
      </c>
      <c r="C105" s="5">
        <f>SUMIFS(Physician_Visit_May,Physician_Visit_Practice,May!B105,Physician_Visit_Hospitalists, "&lt;&gt;"&amp;'Physician Types'!$D$81)+SUMIFS(Physician_Visit_May,Physician_Visit_Practice,May!B105,Physician_Visit_Hospitalists,'Physician Types'!$D$81)*INDEX(Physician_Type_Hospitalists_Visit_Minutes,MATCH(May!B105,Physician_Type_Practice,0))/INDEX(Physician_Type_Visit_Minutes,MATCH(May!B105,Physician_Type_Practice,0)) +SUMIF(Physician_Minutes_Practice,May!B105,Physician_Minutes_May)/INDEX(Physician_Type_Visit_Minutes,MATCH(May!B105,Physician_Type_Practice,0))</f>
        <v>0</v>
      </c>
      <c r="D105" s="43">
        <f t="shared" si="9"/>
        <v>0</v>
      </c>
      <c r="E105" s="17">
        <f>INDEX(Physician_Type_Bed_Rate,MATCH(May!B105,Physician_Type_Practice,0))*'Hospital Input Page'!$C$4</f>
        <v>1619.8750052216039</v>
      </c>
      <c r="F105" s="9">
        <f t="shared" si="7"/>
        <v>0</v>
      </c>
      <c r="H105" s="5">
        <f t="array" ref="H105">SUMIFS(Physician_Visit_May, Physician_Visit_Practice, May!B105, Independent_Contractor_Visits,  'Physician Types'!$D$81) + SUMIFS(Physician_Minutes_May,Physician_Minutes_Practice,May!B105, Independent_Contractor_Minutes, 'Physician Types'!$D$81)/INDEX(Physician_Type_Visit_Minutes,MATCH(May!B105,Physician_Type_Practice,0))</f>
        <v>0</v>
      </c>
      <c r="I105" s="43">
        <f t="shared" si="10"/>
        <v>0</v>
      </c>
      <c r="J105" s="10">
        <f>E105*'Physician Types'!$E$4</f>
        <v>48.596250156648118</v>
      </c>
      <c r="K105" s="10">
        <f t="shared" si="8"/>
        <v>0</v>
      </c>
    </row>
    <row r="106" spans="1:11" x14ac:dyDescent="0.2">
      <c r="A106" s="158">
        <v>3</v>
      </c>
      <c r="B106" s="102" t="s">
        <v>59</v>
      </c>
      <c r="C106" s="5">
        <f>SUMIFS(Physician_Visit_May,Physician_Visit_Practice,May!B106,Physician_Visit_Hospitalists, "&lt;&gt;"&amp;'Physician Types'!$D$81)+SUMIFS(Physician_Visit_May,Physician_Visit_Practice,May!B106,Physician_Visit_Hospitalists,'Physician Types'!$D$81)*INDEX(Physician_Type_Hospitalists_Visit_Minutes,MATCH(May!B106,Physician_Type_Practice,0))/INDEX(Physician_Type_Visit_Minutes,MATCH(May!B106,Physician_Type_Practice,0)) +SUMIF(Physician_Minutes_Practice,May!B106,Physician_Minutes_May)/INDEX(Physician_Type_Visit_Minutes,MATCH(May!B106,Physician_Type_Practice,0))</f>
        <v>0</v>
      </c>
      <c r="D106" s="43">
        <f t="shared" si="9"/>
        <v>0</v>
      </c>
      <c r="E106" s="17">
        <f>INDEX(Physician_Type_Bed_Rate,MATCH(May!B106,Physician_Type_Practice,0))*'Hospital Input Page'!$C$4</f>
        <v>380.57304339543714</v>
      </c>
      <c r="F106" s="9">
        <f t="shared" si="7"/>
        <v>0</v>
      </c>
      <c r="H106" s="5">
        <f t="array" ref="H106">SUMIFS(Physician_Visit_May, Physician_Visit_Practice, May!B106, Independent_Contractor_Visits,  'Physician Types'!$D$81) + SUMIFS(Physician_Minutes_May,Physician_Minutes_Practice,May!B106, Independent_Contractor_Minutes, 'Physician Types'!$D$81)/INDEX(Physician_Type_Visit_Minutes,MATCH(May!B106,Physician_Type_Practice,0))</f>
        <v>0</v>
      </c>
      <c r="I106" s="43">
        <f t="shared" si="10"/>
        <v>0</v>
      </c>
      <c r="J106" s="10">
        <f>E106*'Physician Types'!$E$4</f>
        <v>11.417191301863113</v>
      </c>
      <c r="K106" s="10">
        <f t="shared" si="8"/>
        <v>0</v>
      </c>
    </row>
    <row r="107" spans="1:11" x14ac:dyDescent="0.2">
      <c r="A107" s="158">
        <v>7</v>
      </c>
      <c r="B107" s="102" t="s">
        <v>75</v>
      </c>
      <c r="C107" s="5">
        <f>SUMIFS(Physician_Visit_May,Physician_Visit_Practice,May!B107,Physician_Visit_Hospitalists, "&lt;&gt;"&amp;'Physician Types'!$D$81)+SUMIFS(Physician_Visit_May,Physician_Visit_Practice,May!B107,Physician_Visit_Hospitalists,'Physician Types'!$D$81)*INDEX(Physician_Type_Hospitalists_Visit_Minutes,MATCH(May!B107,Physician_Type_Practice,0))/INDEX(Physician_Type_Visit_Minutes,MATCH(May!B107,Physician_Type_Practice,0)) +SUMIF(Physician_Minutes_Practice,May!B107,Physician_Minutes_May)/INDEX(Physician_Type_Visit_Minutes,MATCH(May!B107,Physician_Type_Practice,0))</f>
        <v>0</v>
      </c>
      <c r="D107" s="43">
        <f t="shared" si="9"/>
        <v>0</v>
      </c>
      <c r="E107" s="17">
        <f>INDEX(Physician_Type_Bed_Rate,MATCH(May!B107,Physician_Type_Practice,0))*'Hospital Input Page'!$C$4</f>
        <v>7974.4690016090053</v>
      </c>
      <c r="F107" s="9">
        <f t="shared" si="7"/>
        <v>0</v>
      </c>
      <c r="H107" s="5">
        <f t="array" ref="H107">SUMIFS(Physician_Visit_May, Physician_Visit_Practice, May!B107, Independent_Contractor_Visits,  'Physician Types'!$D$81) + SUMIFS(Physician_Minutes_May,Physician_Minutes_Practice,May!B107, Independent_Contractor_Minutes, 'Physician Types'!$D$81)/INDEX(Physician_Type_Visit_Minutes,MATCH(May!B107,Physician_Type_Practice,0))</f>
        <v>0</v>
      </c>
      <c r="I107" s="43">
        <f t="shared" si="10"/>
        <v>0</v>
      </c>
      <c r="J107" s="10">
        <f>E107*'Physician Types'!$E$4</f>
        <v>239.23407004827015</v>
      </c>
      <c r="K107" s="10">
        <f t="shared" si="8"/>
        <v>0</v>
      </c>
    </row>
    <row r="108" spans="1:11" x14ac:dyDescent="0.2">
      <c r="A108" s="158">
        <v>4</v>
      </c>
      <c r="B108" s="128" t="s">
        <v>140</v>
      </c>
      <c r="C108" s="5">
        <f>SUMIFS(Physician_Visit_May,Physician_Visit_Practice,May!B108,Physician_Visit_Hospitalists, "&lt;&gt;"&amp;'Physician Types'!$D$81)+SUMIFS(Physician_Visit_May,Physician_Visit_Practice,May!B108,Physician_Visit_Hospitalists,'Physician Types'!$D$81)*INDEX(Physician_Type_Hospitalists_Visit_Minutes,MATCH(May!B108,Physician_Type_Practice,0))/INDEX(Physician_Type_Visit_Minutes,MATCH(May!B108,Physician_Type_Practice,0)) +SUMIF(Physician_Minutes_Practice,May!B108,Physician_Minutes_May)/INDEX(Physician_Type_Visit_Minutes,MATCH(May!B108,Physician_Type_Practice,0))</f>
        <v>0</v>
      </c>
      <c r="D108" s="43">
        <f t="shared" si="9"/>
        <v>0</v>
      </c>
      <c r="E108" s="17">
        <f>INDEX(Physician_Type_Bed_Rate,MATCH(May!B108,Physician_Type_Practice,0))*'Hospital Input Page'!$C$4</f>
        <v>3159.7320884985265</v>
      </c>
      <c r="F108" s="9">
        <f t="shared" si="7"/>
        <v>0</v>
      </c>
      <c r="H108" s="5">
        <f t="array" ref="H108">SUMIFS(Physician_Visit_May, Physician_Visit_Practice, May!B108, Independent_Contractor_Visits,  'Physician Types'!$D$81) + SUMIFS(Physician_Minutes_May,Physician_Minutes_Practice,May!B108, Independent_Contractor_Minutes, 'Physician Types'!$D$81)/INDEX(Physician_Type_Visit_Minutes,MATCH(May!B108,Physician_Type_Practice,0))</f>
        <v>0</v>
      </c>
      <c r="I108" s="43">
        <f t="shared" si="10"/>
        <v>0</v>
      </c>
      <c r="J108" s="10">
        <f>E108*'Physician Types'!$E$4</f>
        <v>94.791962654955796</v>
      </c>
      <c r="K108" s="10">
        <f t="shared" si="8"/>
        <v>0</v>
      </c>
    </row>
    <row r="109" spans="1:11" x14ac:dyDescent="0.2">
      <c r="A109" s="158">
        <v>7</v>
      </c>
      <c r="B109" s="102" t="s">
        <v>76</v>
      </c>
      <c r="C109" s="5">
        <f>SUMIFS(Physician_Visit_May,Physician_Visit_Practice,May!B109,Physician_Visit_Hospitalists, "&lt;&gt;"&amp;'Physician Types'!$D$81)+SUMIFS(Physician_Visit_May,Physician_Visit_Practice,May!B109,Physician_Visit_Hospitalists,'Physician Types'!$D$81)*INDEX(Physician_Type_Hospitalists_Visit_Minutes,MATCH(May!B109,Physician_Type_Practice,0))/INDEX(Physician_Type_Visit_Minutes,MATCH(May!B109,Physician_Type_Practice,0)) +SUMIF(Physician_Minutes_Practice,May!B109,Physician_Minutes_May)/INDEX(Physician_Type_Visit_Minutes,MATCH(May!B109,Physician_Type_Practice,0))</f>
        <v>0</v>
      </c>
      <c r="D109" s="43">
        <f t="shared" si="9"/>
        <v>0</v>
      </c>
      <c r="E109" s="17">
        <f>INDEX(Physician_Type_Bed_Rate,MATCH(May!B109,Physician_Type_Practice,0))*'Hospital Input Page'!$C$4</f>
        <v>7709.0436995485979</v>
      </c>
      <c r="F109" s="9">
        <f t="shared" si="7"/>
        <v>0</v>
      </c>
      <c r="H109" s="5">
        <f t="array" ref="H109">SUMIFS(Physician_Visit_May, Physician_Visit_Practice, May!B109, Independent_Contractor_Visits,  'Physician Types'!$D$81) + SUMIFS(Physician_Minutes_May,Physician_Minutes_Practice,May!B109, Independent_Contractor_Minutes, 'Physician Types'!$D$81)/INDEX(Physician_Type_Visit_Minutes,MATCH(May!B109,Physician_Type_Practice,0))</f>
        <v>0</v>
      </c>
      <c r="I109" s="43">
        <f t="shared" si="10"/>
        <v>0</v>
      </c>
      <c r="J109" s="10">
        <f>E109*'Physician Types'!$E$4</f>
        <v>231.27131098645793</v>
      </c>
      <c r="K109" s="10">
        <f t="shared" si="8"/>
        <v>0</v>
      </c>
    </row>
    <row r="110" spans="1:11" x14ac:dyDescent="0.2">
      <c r="A110" s="102"/>
      <c r="B110" s="164" t="s">
        <v>156</v>
      </c>
      <c r="C110" s="5" t="e">
        <f>SUMIFS(Physician_Visit_May,Physician_Visit_Practice,May!B110,Physician_Visit_Hospitalists, "&lt;&gt;"&amp;'Physician Types'!$D$81)+SUMIFS(Physician_Visit_May,Physician_Visit_Practice,May!B110,Physician_Visit_Hospitalists,'Physician Types'!$D$81)*INDEX(Physician_Type_Hospitalists_Visit_Minutes,MATCH(May!B110,Physician_Type_Practice,0))/INDEX(Physician_Type_Visit_Minutes,MATCH(May!B110,Physician_Type_Practice,0)) +SUMIF(Physician_Minutes_Practice,May!B110,Physician_Minutes_May)/INDEX(Physician_Type_Visit_Minutes,MATCH(May!B110,Physician_Type_Practice,0))</f>
        <v>#REF!</v>
      </c>
      <c r="D110" s="43" t="e">
        <f t="shared" si="9"/>
        <v>#REF!</v>
      </c>
      <c r="E110" s="17" t="e">
        <f>INDEX(Physician_Type_Bed_Rate,MATCH(May!B110,Physician_Type_Practice,0))*'Hospital Input Page'!$C$4</f>
        <v>#REF!</v>
      </c>
      <c r="F110" s="9" t="e">
        <f t="shared" si="7"/>
        <v>#REF!</v>
      </c>
      <c r="H110" s="5" t="e">
        <f t="array" ref="H110">SUMIFS(Physician_Visit_May, Physician_Visit_Practice, May!B110, Independent_Contractor_Visits,  'Physician Types'!$D$81) + SUMIFS(Physician_Minutes_May,Physician_Minutes_Practice,May!B110, Independent_Contractor_Minutes, 'Physician Types'!$D$81)/INDEX(Physician_Type_Visit_Minutes,MATCH(May!B110,Physician_Type_Practice,0))</f>
        <v>#REF!</v>
      </c>
      <c r="I110" s="43" t="e">
        <f t="shared" si="10"/>
        <v>#REF!</v>
      </c>
      <c r="J110" s="10" t="e">
        <f>E110*'Physician Types'!$E$4</f>
        <v>#REF!</v>
      </c>
      <c r="K110" s="10" t="e">
        <f t="shared" si="8"/>
        <v>#REF!</v>
      </c>
    </row>
    <row r="111" spans="1:11" x14ac:dyDescent="0.2">
      <c r="A111" s="102"/>
      <c r="B111" s="164" t="s">
        <v>156</v>
      </c>
      <c r="C111" s="5" t="e">
        <f>SUMIFS(Physician_Visit_May,Physician_Visit_Practice,May!B111,Physician_Visit_Hospitalists, "&lt;&gt;"&amp;'Physician Types'!$D$81)+SUMIFS(Physician_Visit_May,Physician_Visit_Practice,May!B111,Physician_Visit_Hospitalists,'Physician Types'!$D$81)*INDEX(Physician_Type_Hospitalists_Visit_Minutes,MATCH(May!B111,Physician_Type_Practice,0))/INDEX(Physician_Type_Visit_Minutes,MATCH(May!B111,Physician_Type_Practice,0)) +SUMIF(Physician_Minutes_Practice,May!B111,Physician_Minutes_May)/INDEX(Physician_Type_Visit_Minutes,MATCH(May!B111,Physician_Type_Practice,0))</f>
        <v>#REF!</v>
      </c>
      <c r="D111" s="43" t="e">
        <f t="shared" ref="D111:D112" si="15">C111*INDEX(Physician_Type_Visit_Minutes,MATCH(B111,Physician_Type_Practice,0))/INDEX(Physician_Type_FTE_Minutes,MATCH(B111,Physician_Type_Practice,0))</f>
        <v>#REF!</v>
      </c>
      <c r="E111" s="17" t="e">
        <f>INDEX(Physician_Type_Bed_Rate,MATCH(May!B111,Physician_Type_Practice,0))*'Hospital Input Page'!$C$4</f>
        <v>#REF!</v>
      </c>
      <c r="F111" s="9" t="e">
        <f t="shared" si="7"/>
        <v>#REF!</v>
      </c>
      <c r="H111" s="5" t="e">
        <f t="array" ref="H111">SUMIFS(Physician_Visit_May, Physician_Visit_Practice, May!B111, Independent_Contractor_Visits,  'Physician Types'!$D$81) + SUMIFS(Physician_Minutes_May,Physician_Minutes_Practice,May!B111, Independent_Contractor_Minutes, 'Physician Types'!$D$81)/INDEX(Physician_Type_Visit_Minutes,MATCH(May!B111,Physician_Type_Practice,0))</f>
        <v>#REF!</v>
      </c>
      <c r="I111" s="43" t="e">
        <f t="shared" ref="I111:I112" si="16">H111*INDEX(Physician_Type_Visit_Minutes,MATCH(B111,Physician_Type_Practice,0))/INDEX(Physician_Type_FTE_Minutes,MATCH(B111,Physician_Type_Practice,0))</f>
        <v>#REF!</v>
      </c>
      <c r="J111" s="10" t="e">
        <f>E111*'Physician Types'!$E$4</f>
        <v>#REF!</v>
      </c>
      <c r="K111" s="10" t="e">
        <f t="shared" si="8"/>
        <v>#REF!</v>
      </c>
    </row>
    <row r="112" spans="1:11" x14ac:dyDescent="0.2">
      <c r="A112" s="102"/>
      <c r="B112" s="164" t="s">
        <v>156</v>
      </c>
      <c r="C112" s="5" t="e">
        <f>SUMIFS(Physician_Visit_May,Physician_Visit_Practice,May!B112,Physician_Visit_Hospitalists, "&lt;&gt;"&amp;'Physician Types'!$D$81)+SUMIFS(Physician_Visit_May,Physician_Visit_Practice,May!B112,Physician_Visit_Hospitalists,'Physician Types'!$D$81)*INDEX(Physician_Type_Hospitalists_Visit_Minutes,MATCH(May!B112,Physician_Type_Practice,0))/INDEX(Physician_Type_Visit_Minutes,MATCH(May!B112,Physician_Type_Practice,0)) +SUMIF(Physician_Minutes_Practice,May!B112,Physician_Minutes_May)/INDEX(Physician_Type_Visit_Minutes,MATCH(May!B112,Physician_Type_Practice,0))</f>
        <v>#REF!</v>
      </c>
      <c r="D112" s="43" t="e">
        <f t="shared" si="15"/>
        <v>#REF!</v>
      </c>
      <c r="E112" s="17" t="e">
        <f>INDEX(Physician_Type_Bed_Rate,MATCH(May!B112,Physician_Type_Practice,0))*'Hospital Input Page'!$C$4</f>
        <v>#REF!</v>
      </c>
      <c r="F112" s="9" t="e">
        <f t="shared" ref="F112" si="17">D112*E112</f>
        <v>#REF!</v>
      </c>
      <c r="H112" s="5" t="e">
        <f t="array" ref="H112">SUMIFS(Physician_Visit_May, Physician_Visit_Practice, May!B112, Independent_Contractor_Visits,  'Physician Types'!$D$81) + SUMIFS(Physician_Minutes_May,Physician_Minutes_Practice,May!B112, Independent_Contractor_Minutes, 'Physician Types'!$D$81)/INDEX(Physician_Type_Visit_Minutes,MATCH(May!B112,Physician_Type_Practice,0))</f>
        <v>#REF!</v>
      </c>
      <c r="I112" s="43" t="e">
        <f t="shared" si="16"/>
        <v>#REF!</v>
      </c>
      <c r="J112" s="10" t="e">
        <f>E112*'Physician Types'!$E$4</f>
        <v>#REF!</v>
      </c>
      <c r="K112" s="10" t="e">
        <f t="shared" ref="K112" si="18">I112*J112</f>
        <v>#REF!</v>
      </c>
    </row>
    <row r="113" spans="1:11" x14ac:dyDescent="0.2">
      <c r="A113" s="102"/>
      <c r="B113" s="164" t="s">
        <v>156</v>
      </c>
      <c r="C113" s="5" t="e">
        <f>SUMIFS(Physician_Visit_May,Physician_Visit_Practice,May!B113,Physician_Visit_Hospitalists, "&lt;&gt;"&amp;'Physician Types'!$D$81)+SUMIFS(Physician_Visit_May,Physician_Visit_Practice,May!B113,Physician_Visit_Hospitalists,'Physician Types'!$D$81)*INDEX(Physician_Type_Hospitalists_Visit_Minutes,MATCH(May!B113,Physician_Type_Practice,0))/INDEX(Physician_Type_Visit_Minutes,MATCH(May!B113,Physician_Type_Practice,0)) +SUMIF(Physician_Minutes_Practice,May!B113,Physician_Minutes_May)/INDEX(Physician_Type_Visit_Minutes,MATCH(May!B113,Physician_Type_Practice,0))</f>
        <v>#REF!</v>
      </c>
      <c r="D113" s="43" t="e">
        <f t="shared" ref="D113:D116" si="19">C113*INDEX(Physician_Type_Visit_Minutes,MATCH(B113,Physician_Type_Practice,0))/INDEX(Physician_Type_FTE_Minutes,MATCH(B113,Physician_Type_Practice,0))</f>
        <v>#REF!</v>
      </c>
      <c r="E113" s="17" t="e">
        <f>INDEX(Physician_Type_Bed_Rate,MATCH(May!B113,Physician_Type_Practice,0))*'Hospital Input Page'!$C$4</f>
        <v>#REF!</v>
      </c>
      <c r="F113" s="9" t="e">
        <f t="shared" ref="F113:F116" si="20">D113*E113</f>
        <v>#REF!</v>
      </c>
      <c r="H113" s="5" t="e">
        <f t="array" ref="H113">SUMIFS(Physician_Visit_May, Physician_Visit_Practice, May!B113, Independent_Contractor_Visits,  'Physician Types'!$D$81) + SUMIFS(Physician_Minutes_May,Physician_Minutes_Practice,May!B113, Independent_Contractor_Minutes, 'Physician Types'!$D$81)/INDEX(Physician_Type_Visit_Minutes,MATCH(May!B113,Physician_Type_Practice,0))</f>
        <v>#REF!</v>
      </c>
      <c r="I113" s="43" t="e">
        <f t="shared" ref="I113:I116" si="21">H113*INDEX(Physician_Type_Visit_Minutes,MATCH(B113,Physician_Type_Practice,0))/INDEX(Physician_Type_FTE_Minutes,MATCH(B113,Physician_Type_Practice,0))</f>
        <v>#REF!</v>
      </c>
      <c r="J113" s="10" t="e">
        <f>E113*'Physician Types'!$E$4</f>
        <v>#REF!</v>
      </c>
      <c r="K113" s="10" t="e">
        <f t="shared" ref="K113:K116" si="22">I113*J113</f>
        <v>#REF!</v>
      </c>
    </row>
    <row r="114" spans="1:11" x14ac:dyDescent="0.2">
      <c r="A114" s="102"/>
      <c r="B114" s="164" t="s">
        <v>156</v>
      </c>
      <c r="C114" s="5" t="e">
        <f>SUMIFS(Physician_Visit_May,Physician_Visit_Practice,May!B114,Physician_Visit_Hospitalists, "&lt;&gt;"&amp;'Physician Types'!$D$81)+SUMIFS(Physician_Visit_May,Physician_Visit_Practice,May!B114,Physician_Visit_Hospitalists,'Physician Types'!$D$81)*INDEX(Physician_Type_Hospitalists_Visit_Minutes,MATCH(May!B114,Physician_Type_Practice,0))/INDEX(Physician_Type_Visit_Minutes,MATCH(May!B114,Physician_Type_Practice,0)) +SUMIF(Physician_Minutes_Practice,May!B114,Physician_Minutes_May)/INDEX(Physician_Type_Visit_Minutes,MATCH(May!B114,Physician_Type_Practice,0))</f>
        <v>#REF!</v>
      </c>
      <c r="D114" s="43" t="e">
        <f t="shared" si="19"/>
        <v>#REF!</v>
      </c>
      <c r="E114" s="17" t="e">
        <f>INDEX(Physician_Type_Bed_Rate,MATCH(May!B114,Physician_Type_Practice,0))*'Hospital Input Page'!$C$4</f>
        <v>#REF!</v>
      </c>
      <c r="F114" s="9" t="e">
        <f t="shared" si="20"/>
        <v>#REF!</v>
      </c>
      <c r="H114" s="5" t="e">
        <f t="array" ref="H114">SUMIFS(Physician_Visit_May, Physician_Visit_Practice, May!B114, Independent_Contractor_Visits,  'Physician Types'!$D$81) + SUMIFS(Physician_Minutes_May,Physician_Minutes_Practice,May!B114, Independent_Contractor_Minutes, 'Physician Types'!$D$81)/INDEX(Physician_Type_Visit_Minutes,MATCH(May!B114,Physician_Type_Practice,0))</f>
        <v>#REF!</v>
      </c>
      <c r="I114" s="43" t="e">
        <f t="shared" si="21"/>
        <v>#REF!</v>
      </c>
      <c r="J114" s="10" t="e">
        <f>E114*'Physician Types'!$E$4</f>
        <v>#REF!</v>
      </c>
      <c r="K114" s="10" t="e">
        <f t="shared" si="22"/>
        <v>#REF!</v>
      </c>
    </row>
    <row r="115" spans="1:11" x14ac:dyDescent="0.2">
      <c r="A115" s="102"/>
      <c r="B115" s="164" t="s">
        <v>156</v>
      </c>
      <c r="C115" s="5" t="e">
        <f>SUMIFS(Physician_Visit_May,Physician_Visit_Practice,May!B115,Physician_Visit_Hospitalists, "&lt;&gt;"&amp;'Physician Types'!$D$81)+SUMIFS(Physician_Visit_May,Physician_Visit_Practice,May!B115,Physician_Visit_Hospitalists,'Physician Types'!$D$81)*INDEX(Physician_Type_Hospitalists_Visit_Minutes,MATCH(May!B115,Physician_Type_Practice,0))/INDEX(Physician_Type_Visit_Minutes,MATCH(May!B115,Physician_Type_Practice,0)) +SUMIF(Physician_Minutes_Practice,May!B115,Physician_Minutes_May)/INDEX(Physician_Type_Visit_Minutes,MATCH(May!B115,Physician_Type_Practice,0))</f>
        <v>#REF!</v>
      </c>
      <c r="D115" s="43" t="e">
        <f t="shared" si="19"/>
        <v>#REF!</v>
      </c>
      <c r="E115" s="17" t="e">
        <f>INDEX(Physician_Type_Bed_Rate,MATCH(May!B115,Physician_Type_Practice,0))*'Hospital Input Page'!$C$4</f>
        <v>#REF!</v>
      </c>
      <c r="F115" s="9" t="e">
        <f t="shared" si="20"/>
        <v>#REF!</v>
      </c>
      <c r="H115" s="5" t="e">
        <f t="array" ref="H115">SUMIFS(Physician_Visit_May, Physician_Visit_Practice, May!B115, Independent_Contractor_Visits,  'Physician Types'!$D$81) + SUMIFS(Physician_Minutes_May,Physician_Minutes_Practice,May!B115, Independent_Contractor_Minutes, 'Physician Types'!$D$81)/INDEX(Physician_Type_Visit_Minutes,MATCH(May!B115,Physician_Type_Practice,0))</f>
        <v>#REF!</v>
      </c>
      <c r="I115" s="43" t="e">
        <f t="shared" si="21"/>
        <v>#REF!</v>
      </c>
      <c r="J115" s="10" t="e">
        <f>E115*'Physician Types'!$E$4</f>
        <v>#REF!</v>
      </c>
      <c r="K115" s="10" t="e">
        <f t="shared" si="22"/>
        <v>#REF!</v>
      </c>
    </row>
    <row r="116" spans="1:11" x14ac:dyDescent="0.2">
      <c r="A116" s="102"/>
      <c r="B116" s="164" t="s">
        <v>156</v>
      </c>
      <c r="C116" s="5" t="e">
        <f>SUMIFS(Physician_Visit_May,Physician_Visit_Practice,May!B116,Physician_Visit_Hospitalists, "&lt;&gt;"&amp;'Physician Types'!$D$81)+SUMIFS(Physician_Visit_May,Physician_Visit_Practice,May!B116,Physician_Visit_Hospitalists,'Physician Types'!$D$81)*INDEX(Physician_Type_Hospitalists_Visit_Minutes,MATCH(May!B116,Physician_Type_Practice,0))/INDEX(Physician_Type_Visit_Minutes,MATCH(May!B116,Physician_Type_Practice,0)) +SUMIF(Physician_Minutes_Practice,May!B116,Physician_Minutes_May)/INDEX(Physician_Type_Visit_Minutes,MATCH(May!B116,Physician_Type_Practice,0))</f>
        <v>#REF!</v>
      </c>
      <c r="D116" s="43" t="e">
        <f t="shared" si="19"/>
        <v>#REF!</v>
      </c>
      <c r="E116" s="17" t="e">
        <f>INDEX(Physician_Type_Bed_Rate,MATCH(May!B116,Physician_Type_Practice,0))*'Hospital Input Page'!$C$4</f>
        <v>#REF!</v>
      </c>
      <c r="F116" s="9" t="e">
        <f t="shared" si="20"/>
        <v>#REF!</v>
      </c>
      <c r="H116" s="5" t="e">
        <f t="array" ref="H116">SUMIFS(Physician_Visit_May, Physician_Visit_Practice, May!B116, Independent_Contractor_Visits,  'Physician Types'!$D$81) + SUMIFS(Physician_Minutes_May,Physician_Minutes_Practice,May!B116, Independent_Contractor_Minutes, 'Physician Types'!$D$81)/INDEX(Physician_Type_Visit_Minutes,MATCH(May!B116,Physician_Type_Practice,0))</f>
        <v>#REF!</v>
      </c>
      <c r="I116" s="43" t="e">
        <f t="shared" si="21"/>
        <v>#REF!</v>
      </c>
      <c r="J116" s="10" t="e">
        <f>E116*'Physician Types'!$E$4</f>
        <v>#REF!</v>
      </c>
      <c r="K116" s="10" t="e">
        <f t="shared" si="22"/>
        <v>#REF!</v>
      </c>
    </row>
    <row r="119" spans="1:11" x14ac:dyDescent="0.2">
      <c r="B119" s="46" t="s">
        <v>106</v>
      </c>
      <c r="C119" s="149"/>
      <c r="D119" s="150"/>
      <c r="E119" s="151"/>
      <c r="F119" s="48">
        <f>SUMIF(F46:F116,"&lt;&gt;#REF!",F46:F116)</f>
        <v>2430.2670442671188</v>
      </c>
      <c r="G119" s="46"/>
      <c r="H119" s="46"/>
      <c r="I119" s="46"/>
      <c r="J119" s="46"/>
      <c r="K119" s="48">
        <f>SUMIF(K46:K116,"&lt;&gt;#REF!",K46:K116)</f>
        <v>0</v>
      </c>
    </row>
  </sheetData>
  <sheetProtection algorithmName="SHA-512" hashValue="jzbVl/DmarnW5r3Hsmi4GpqVSO4KadvzHiQjT+9OjKur3tlokpKpDx4FY8wDmHcqM2ScShywsMtzvbrCQRX1qQ==" saltValue="DRE+rNV5DbI6MwCF2Ye3HQ==" spinCount="100000" sheet="1" objects="1" scenarios="1"/>
  <customSheetViews>
    <customSheetView guid="{4B7E793F-FF7C-4BA4-8EC7-9B719AA3D607}" fitToPage="1">
      <selection activeCell="B7" sqref="B7:C7"/>
      <pageMargins left="0.5" right="0.5" top="0.5" bottom="0.5" header="0.5" footer="0.5"/>
      <printOptions gridLines="1"/>
      <pageSetup scale="97" orientation="portrait" r:id="rId1"/>
      <headerFooter alignWithMargins="0"/>
    </customSheetView>
  </customSheetViews>
  <phoneticPr fontId="8" type="noConversion"/>
  <printOptions headings="1"/>
  <pageMargins left="0.5" right="0.5" top="0.5" bottom="0.5" header="0.5" footer="0.5"/>
  <pageSetup scale="94" orientation="portrait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A1:K139"/>
  <sheetViews>
    <sheetView tabSelected="1" zoomScaleNormal="100" workbookViewId="0">
      <selection activeCell="E19" sqref="E19:F20"/>
    </sheetView>
  </sheetViews>
  <sheetFormatPr defaultRowHeight="12.75" x14ac:dyDescent="0.2"/>
  <cols>
    <col min="1" max="1" width="3.7109375" customWidth="1"/>
    <col min="2" max="2" width="52.42578125" customWidth="1"/>
    <col min="3" max="3" width="11.7109375" customWidth="1"/>
    <col min="4" max="4" width="10.42578125" style="8" customWidth="1"/>
    <col min="5" max="5" width="9.140625" style="6" bestFit="1" customWidth="1"/>
    <col min="6" max="6" width="12.85546875" customWidth="1"/>
    <col min="7" max="7" width="10.140625" style="10" customWidth="1"/>
    <col min="8" max="8" width="15.140625" customWidth="1"/>
    <col min="11" max="11" width="10.28515625" customWidth="1"/>
  </cols>
  <sheetData>
    <row r="1" spans="1:8" ht="15.75" x14ac:dyDescent="0.25">
      <c r="A1" s="18" t="str">
        <f>'Hospital Input Page'!A1</f>
        <v>Grover Dils</v>
      </c>
      <c r="B1" s="19"/>
      <c r="C1" s="18" t="s">
        <v>105</v>
      </c>
      <c r="D1" s="196">
        <f>'Hospital Input Page'!L6</f>
        <v>2020</v>
      </c>
      <c r="E1" s="19"/>
    </row>
    <row r="2" spans="1:8" ht="15.75" x14ac:dyDescent="0.25">
      <c r="A2" s="18" t="str">
        <f>'Hospital Input Page'!A2</f>
        <v>LiCON MONTHLY REPORT FORM (MRF)</v>
      </c>
      <c r="B2" s="19"/>
      <c r="C2" s="19"/>
      <c r="D2" s="20"/>
      <c r="E2" s="19"/>
    </row>
    <row r="3" spans="1:8" ht="15.75" customHeight="1" x14ac:dyDescent="0.25">
      <c r="A3" s="18"/>
      <c r="B3" s="21"/>
      <c r="D3" s="20"/>
      <c r="E3" s="22"/>
      <c r="F3" s="38"/>
    </row>
    <row r="5" spans="1:8" ht="15.75" x14ac:dyDescent="0.25">
      <c r="B5" s="21" t="s">
        <v>24</v>
      </c>
      <c r="C5" s="168">
        <f>F39</f>
        <v>3860.584050737305</v>
      </c>
      <c r="E5"/>
    </row>
    <row r="6" spans="1:8" x14ac:dyDescent="0.2">
      <c r="C6" s="2"/>
    </row>
    <row r="7" spans="1:8" x14ac:dyDescent="0.2">
      <c r="B7" s="58" t="str">
        <f>'Hospital Input Page'!$B$5</f>
        <v>Deductible</v>
      </c>
      <c r="C7" s="58">
        <f>'Hospital Input Page'!$C$5</f>
        <v>10000</v>
      </c>
    </row>
    <row r="8" spans="1:8" x14ac:dyDescent="0.2">
      <c r="B8" s="1"/>
      <c r="C8" s="3"/>
    </row>
    <row r="9" spans="1:8" ht="13.5" thickBot="1" x14ac:dyDescent="0.25">
      <c r="A9" s="4"/>
      <c r="B9" s="23" t="s">
        <v>0</v>
      </c>
      <c r="C9" s="23" t="s">
        <v>1</v>
      </c>
      <c r="D9" s="24" t="s">
        <v>27</v>
      </c>
      <c r="E9" s="25"/>
      <c r="F9" s="49" t="s">
        <v>111</v>
      </c>
      <c r="G9" s="11"/>
    </row>
    <row r="10" spans="1:8" ht="12.95" customHeight="1" x14ac:dyDescent="0.2">
      <c r="A10" s="29">
        <v>1</v>
      </c>
      <c r="B10" s="113" t="s">
        <v>2</v>
      </c>
      <c r="C10" s="5">
        <f>INDEX(Hospital_Exposure_June, MATCH(June!B10,Hospital_Exposure_Name,0))</f>
        <v>0.5</v>
      </c>
      <c r="D10" s="17">
        <f>INDEX(Hospital_Exposure_Rate,MATCH(June!B10,Hospital_Exposure_Name,0))</f>
        <v>527.69012023747894</v>
      </c>
      <c r="E10" s="28" t="s">
        <v>21</v>
      </c>
      <c r="F10" s="50">
        <f t="shared" ref="F10:F15" si="0">C10*D10</f>
        <v>263.84506011873947</v>
      </c>
    </row>
    <row r="11" spans="1:8" ht="12.95" customHeight="1" x14ac:dyDescent="0.2">
      <c r="A11" s="29">
        <f>A10+1</f>
        <v>2</v>
      </c>
      <c r="B11" s="118" t="s">
        <v>3</v>
      </c>
      <c r="C11" s="5">
        <f>INDEX(Hospital_Exposure_June, MATCH(June!B11,Hospital_Exposure_Name,0))</f>
        <v>0</v>
      </c>
      <c r="D11" s="17">
        <f>INDEX(Hospital_Exposure_Rate,MATCH(June!B11,Hospital_Exposure_Name,0))</f>
        <v>527.69012023747894</v>
      </c>
      <c r="E11" s="28" t="s">
        <v>21</v>
      </c>
      <c r="F11" s="50">
        <f t="shared" si="0"/>
        <v>0</v>
      </c>
    </row>
    <row r="12" spans="1:8" ht="12.95" customHeight="1" x14ac:dyDescent="0.2">
      <c r="A12" s="29">
        <f t="shared" ref="A12:A35" si="1">A11+1</f>
        <v>3</v>
      </c>
      <c r="B12" s="118" t="s">
        <v>4</v>
      </c>
      <c r="C12" s="5">
        <f>INDEX(Hospital_Exposure_June, MATCH(June!B12,Hospital_Exposure_Name,0))</f>
        <v>12.84</v>
      </c>
      <c r="D12" s="17">
        <f>INDEX(Hospital_Exposure_Rate,MATCH(June!B12,Hospital_Exposure_Name,0))</f>
        <v>63.322814428497473</v>
      </c>
      <c r="E12" s="28" t="s">
        <v>21</v>
      </c>
      <c r="F12" s="50">
        <f t="shared" si="0"/>
        <v>813.06493726190752</v>
      </c>
    </row>
    <row r="13" spans="1:8" ht="12.95" customHeight="1" x14ac:dyDescent="0.2">
      <c r="A13" s="29">
        <f t="shared" si="1"/>
        <v>4</v>
      </c>
      <c r="B13" s="118" t="s">
        <v>5</v>
      </c>
      <c r="C13" s="5">
        <f>INDEX(Hospital_Exposure_June, MATCH(June!B13,Hospital_Exposure_Name,0))</f>
        <v>0</v>
      </c>
      <c r="D13" s="17">
        <f>INDEX(Hospital_Exposure_Rate,MATCH(June!B13,Hospital_Exposure_Name,0))</f>
        <v>369.38308416623522</v>
      </c>
      <c r="E13" s="28" t="s">
        <v>21</v>
      </c>
      <c r="F13" s="50">
        <f t="shared" si="0"/>
        <v>0</v>
      </c>
    </row>
    <row r="14" spans="1:8" ht="12.95" customHeight="1" x14ac:dyDescent="0.2">
      <c r="A14" s="29">
        <f t="shared" si="1"/>
        <v>5</v>
      </c>
      <c r="B14" s="118" t="s">
        <v>6</v>
      </c>
      <c r="C14" s="5">
        <f>INDEX(Hospital_Exposure_June, MATCH(June!B14,Hospital_Exposure_Name,0))</f>
        <v>0</v>
      </c>
      <c r="D14" s="17">
        <f>INDEX(Hospital_Exposure_Rate,MATCH(June!B14,Hospital_Exposure_Name,0))</f>
        <v>237.988244227103</v>
      </c>
      <c r="E14" s="28" t="s">
        <v>21</v>
      </c>
      <c r="F14" s="50">
        <f t="shared" si="0"/>
        <v>0</v>
      </c>
    </row>
    <row r="15" spans="1:8" ht="12.95" customHeight="1" x14ac:dyDescent="0.2">
      <c r="A15" s="29">
        <f t="shared" si="1"/>
        <v>6</v>
      </c>
      <c r="B15" s="118" t="s">
        <v>7</v>
      </c>
      <c r="C15" s="5">
        <f>INDEX(Hospital_Exposure_June, MATCH(June!B15,Hospital_Exposure_Name,0))</f>
        <v>0</v>
      </c>
      <c r="D15" s="17">
        <f>INDEX(Hospital_Exposure_Rate,MATCH(June!B15,Hospital_Exposure_Name,0))</f>
        <v>184.69154208311761</v>
      </c>
      <c r="E15" s="28" t="s">
        <v>21</v>
      </c>
      <c r="F15" s="50">
        <f t="shared" si="0"/>
        <v>0</v>
      </c>
    </row>
    <row r="16" spans="1:8" ht="12.95" customHeight="1" x14ac:dyDescent="0.2">
      <c r="A16" s="29">
        <f t="shared" si="1"/>
        <v>7</v>
      </c>
      <c r="B16" s="122" t="s">
        <v>114</v>
      </c>
      <c r="C16" s="5">
        <f>INDEX(Hospital_Exposure_June, MATCH(June!B16,Hospital_Exposure_Name,0))</f>
        <v>80</v>
      </c>
      <c r="D16" s="17">
        <f>INDEX(Hospital_Exposure_Rate,MATCH(June!B16,Hospital_Exposure_Name,0))</f>
        <v>89.707320440371419</v>
      </c>
      <c r="E16" s="28" t="s">
        <v>22</v>
      </c>
      <c r="F16" s="50">
        <f>C16*D16/100</f>
        <v>71.765856352297135</v>
      </c>
      <c r="H16" s="31"/>
    </row>
    <row r="17" spans="1:8" ht="12.95" customHeight="1" x14ac:dyDescent="0.2">
      <c r="A17" s="29">
        <f t="shared" si="1"/>
        <v>8</v>
      </c>
      <c r="B17" s="122" t="s">
        <v>115</v>
      </c>
      <c r="C17" s="5">
        <f>INDEX(Hospital_Exposure_June, MATCH(June!B17,Hospital_Exposure_Name,0))</f>
        <v>1062</v>
      </c>
      <c r="D17" s="17">
        <f>INDEX(Hospital_Exposure_Rate,MATCH(June!B17,Hospital_Exposure_Name,0))</f>
        <v>21.107604809499158</v>
      </c>
      <c r="E17" s="28" t="s">
        <v>22</v>
      </c>
      <c r="F17" s="50">
        <f>C17*D17/100</f>
        <v>224.16276307688105</v>
      </c>
      <c r="H17" s="31"/>
    </row>
    <row r="18" spans="1:8" ht="12.95" customHeight="1" x14ac:dyDescent="0.2">
      <c r="A18" s="29">
        <f t="shared" si="1"/>
        <v>9</v>
      </c>
      <c r="B18" s="122" t="s">
        <v>116</v>
      </c>
      <c r="C18" s="5">
        <f>INDEX(Hospital_Exposure_June, MATCH(June!B18,Hospital_Exposure_Name,0))</f>
        <v>0</v>
      </c>
      <c r="D18" s="17">
        <f>INDEX(Hospital_Exposure_Rate,MATCH(June!B18,Hospital_Exposure_Name,0))</f>
        <v>1.1609182645224538</v>
      </c>
      <c r="E18" s="28" t="s">
        <v>22</v>
      </c>
      <c r="F18" s="50">
        <f>C18*D18/100</f>
        <v>0</v>
      </c>
    </row>
    <row r="19" spans="1:8" ht="12.95" customHeight="1" x14ac:dyDescent="0.2">
      <c r="A19" s="29">
        <f t="shared" si="1"/>
        <v>10</v>
      </c>
      <c r="B19" s="118" t="s">
        <v>8</v>
      </c>
      <c r="C19" s="5">
        <f>INDEX(Hospital_Exposure_June, MATCH(June!B19,Hospital_Exposure_Name,0))</f>
        <v>0</v>
      </c>
      <c r="D19" s="17">
        <f>INDEX(Hospital_Exposure_Rate,MATCH(June!B19,Hospital_Exposure_Name,0))</f>
        <v>26.384506011873949</v>
      </c>
      <c r="E19" s="28" t="s">
        <v>23</v>
      </c>
      <c r="F19" s="50">
        <f>C19*D19</f>
        <v>0</v>
      </c>
    </row>
    <row r="20" spans="1:8" ht="12.95" customHeight="1" x14ac:dyDescent="0.2">
      <c r="A20" s="29">
        <f t="shared" si="1"/>
        <v>11</v>
      </c>
      <c r="B20" s="118" t="s">
        <v>9</v>
      </c>
      <c r="C20" s="5">
        <f>INDEX(Hospital_Exposure_June, MATCH(June!B20,Hospital_Exposure_Name,0))</f>
        <v>0</v>
      </c>
      <c r="D20" s="17">
        <f>INDEX(Hospital_Exposure_Rate,MATCH(June!B20,Hospital_Exposure_Name,0))</f>
        <v>10.553802404749579</v>
      </c>
      <c r="E20" s="28" t="s">
        <v>23</v>
      </c>
      <c r="F20" s="50">
        <f>C20*D20</f>
        <v>0</v>
      </c>
    </row>
    <row r="21" spans="1:8" ht="12.95" customHeight="1" x14ac:dyDescent="0.2">
      <c r="A21" s="29">
        <f t="shared" si="1"/>
        <v>12</v>
      </c>
      <c r="B21" s="118" t="s">
        <v>10</v>
      </c>
      <c r="C21" s="5">
        <f>INDEX(Hospital_Exposure_June, MATCH(June!B21,Hospital_Exposure_Name,0))</f>
        <v>0</v>
      </c>
      <c r="D21" s="17">
        <f>INDEX(Hospital_Exposure_Rate,MATCH(June!B21,Hospital_Exposure_Name,0))</f>
        <v>79.153518035621843</v>
      </c>
      <c r="E21" s="28" t="s">
        <v>23</v>
      </c>
      <c r="F21" s="50">
        <f t="shared" ref="F21:F23" si="2">C21*D21</f>
        <v>0</v>
      </c>
    </row>
    <row r="22" spans="1:8" ht="12.95" customHeight="1" x14ac:dyDescent="0.2">
      <c r="A22" s="29">
        <f t="shared" si="1"/>
        <v>13</v>
      </c>
      <c r="B22" s="118" t="s">
        <v>11</v>
      </c>
      <c r="C22" s="5">
        <f>INDEX(Hospital_Exposure_June, MATCH(June!B22,Hospital_Exposure_Name,0))</f>
        <v>0</v>
      </c>
      <c r="D22" s="17">
        <f>INDEX(Hospital_Exposure_Rate,MATCH(June!B22,Hospital_Exposure_Name,0))</f>
        <v>79.153518035621843</v>
      </c>
      <c r="E22" s="28" t="s">
        <v>23</v>
      </c>
      <c r="F22" s="50">
        <f t="shared" si="2"/>
        <v>0</v>
      </c>
    </row>
    <row r="23" spans="1:8" ht="12.95" customHeight="1" x14ac:dyDescent="0.2">
      <c r="A23" s="29">
        <f t="shared" si="1"/>
        <v>14</v>
      </c>
      <c r="B23" s="122" t="s">
        <v>117</v>
      </c>
      <c r="C23" s="5">
        <f>INDEX(Hospital_Exposure_June, MATCH(June!B23,Hospital_Exposure_Name,0))</f>
        <v>0</v>
      </c>
      <c r="D23" s="17">
        <f>INDEX(Hospital_Exposure_Rate,MATCH(June!B23,Hospital_Exposure_Name,0))</f>
        <v>341.38512486587695</v>
      </c>
      <c r="E23" s="28" t="s">
        <v>23</v>
      </c>
      <c r="F23" s="50">
        <f t="shared" si="2"/>
        <v>0</v>
      </c>
    </row>
    <row r="24" spans="1:8" ht="12.95" customHeight="1" x14ac:dyDescent="0.2">
      <c r="A24" s="29">
        <f t="shared" si="1"/>
        <v>15</v>
      </c>
      <c r="B24" s="74" t="s">
        <v>136</v>
      </c>
      <c r="C24" s="5">
        <f>INDEX($C$47:$C$113,MATCH(B24,$B$47:$B$113,0))</f>
        <v>80</v>
      </c>
      <c r="D24" s="5">
        <f>INDEX($E$47:$E$113,MATCH(B24,$B$47:$B$113,0))</f>
        <v>1727.2161200254454</v>
      </c>
      <c r="E24" s="28" t="s">
        <v>22</v>
      </c>
      <c r="F24" s="50">
        <f>SUMIF(B46:B112,B24,F46:F112)+SUMIF(B46:B112,B54,K46:K112)</f>
        <v>1381.7728960203563</v>
      </c>
    </row>
    <row r="25" spans="1:8" ht="12.95" customHeight="1" x14ac:dyDescent="0.2">
      <c r="A25" s="29">
        <f t="shared" si="1"/>
        <v>16</v>
      </c>
      <c r="B25" s="4" t="s">
        <v>12</v>
      </c>
      <c r="C25" s="5">
        <f>SUMIF($A$47:$A$113, 1,$D$47:$D$113)</f>
        <v>0</v>
      </c>
      <c r="D25" s="5">
        <f>IFERROR(F25/C25,0)</f>
        <v>0</v>
      </c>
      <c r="E25" s="28" t="s">
        <v>23</v>
      </c>
      <c r="F25" s="51">
        <f>SUMIF($A$46:$A$112, 1,$F$46:$F$112) + SUMIF($A$46:$A$112, 1,$K$46:$K$112)</f>
        <v>0</v>
      </c>
    </row>
    <row r="26" spans="1:8" ht="12.95" customHeight="1" x14ac:dyDescent="0.2">
      <c r="A26" s="29">
        <f t="shared" si="1"/>
        <v>17</v>
      </c>
      <c r="B26" s="4" t="s">
        <v>13</v>
      </c>
      <c r="C26" s="5">
        <f>SUMIF($A$47:$A$113, 2,$D$47:$D$113)</f>
        <v>0</v>
      </c>
      <c r="D26" s="5">
        <f t="shared" ref="D26:D35" si="3">IFERROR(F26/C26,0)</f>
        <v>0</v>
      </c>
      <c r="E26" s="28" t="s">
        <v>23</v>
      </c>
      <c r="F26" s="51">
        <f>SUMIF($A$46:$A$112, 2,$F$46:$F$112) + SUMIF($A$46:$A$112, 2,$K$46:$K$112)</f>
        <v>0</v>
      </c>
    </row>
    <row r="27" spans="1:8" ht="12.95" customHeight="1" x14ac:dyDescent="0.2">
      <c r="A27" s="29">
        <f t="shared" si="1"/>
        <v>18</v>
      </c>
      <c r="B27" s="4" t="s">
        <v>14</v>
      </c>
      <c r="C27" s="5">
        <f>SUMIF($A$47:$A$113, 3,$D$47:$D$113)</f>
        <v>0.37693032558318423</v>
      </c>
      <c r="D27" s="5">
        <f t="shared" si="3"/>
        <v>1951.6566327971129</v>
      </c>
      <c r="E27" s="28" t="s">
        <v>23</v>
      </c>
      <c r="F27" s="51">
        <f>SUMIF($A$46:$A$112, 3,$F$46:$F$112) + SUMIF($A$46:$A$112, 3,$K$46:$K$112)</f>
        <v>735.63857002679686</v>
      </c>
    </row>
    <row r="28" spans="1:8" ht="12.95" customHeight="1" x14ac:dyDescent="0.2">
      <c r="A28" s="29">
        <f t="shared" si="1"/>
        <v>19</v>
      </c>
      <c r="B28" s="4" t="s">
        <v>15</v>
      </c>
      <c r="C28" s="5">
        <f>SUMIF($A$47:$A$113, 4,$D$47:$D$113)</f>
        <v>0</v>
      </c>
      <c r="D28" s="5">
        <f t="shared" si="3"/>
        <v>0</v>
      </c>
      <c r="E28" s="28" t="s">
        <v>23</v>
      </c>
      <c r="F28" s="51">
        <f>SUMIF($A$46:$A$112, 4,$F$46:$F$112) + SUMIF($A$46:$A$112, 4,$K$46:$K$112)</f>
        <v>0</v>
      </c>
    </row>
    <row r="29" spans="1:8" ht="12.95" customHeight="1" x14ac:dyDescent="0.2">
      <c r="A29" s="29">
        <f t="shared" si="1"/>
        <v>20</v>
      </c>
      <c r="B29" s="4" t="s">
        <v>16</v>
      </c>
      <c r="C29" s="5">
        <f>SUMIF($A$47:$A$113, 5,$D$47:$D$113)</f>
        <v>0</v>
      </c>
      <c r="D29" s="5">
        <f t="shared" si="3"/>
        <v>0</v>
      </c>
      <c r="E29" s="28" t="s">
        <v>23</v>
      </c>
      <c r="F29" s="51">
        <f>SUMIF($A$46:$A$112, 5,$F$46:$F$112) + SUMIF($A$46:$A$112, 5,$K$46:$K$112)</f>
        <v>0</v>
      </c>
    </row>
    <row r="30" spans="1:8" ht="12.95" customHeight="1" x14ac:dyDescent="0.2">
      <c r="A30" s="29">
        <f t="shared" si="1"/>
        <v>21</v>
      </c>
      <c r="B30" s="4" t="s">
        <v>17</v>
      </c>
      <c r="C30" s="5">
        <f>SUMIF($A$47:$A$113, 6,$D$47:$D$113)</f>
        <v>0</v>
      </c>
      <c r="D30" s="5">
        <f t="shared" si="3"/>
        <v>0</v>
      </c>
      <c r="E30" s="28" t="s">
        <v>23</v>
      </c>
      <c r="F30" s="51">
        <f>SUMIF($A$46:$A$112, 6,$F$46:$F$112) + SUMIF($A$46:$A$112, 6,$K$46:$K$112)</f>
        <v>0</v>
      </c>
    </row>
    <row r="31" spans="1:8" ht="12.95" customHeight="1" x14ac:dyDescent="0.2">
      <c r="A31" s="29">
        <f t="shared" si="1"/>
        <v>22</v>
      </c>
      <c r="B31" s="4" t="s">
        <v>18</v>
      </c>
      <c r="C31" s="5">
        <f>SUMIF($A$47:$A$113, 7,$D$47:$D$113)</f>
        <v>0</v>
      </c>
      <c r="D31" s="5">
        <f t="shared" si="3"/>
        <v>0</v>
      </c>
      <c r="E31" s="28" t="s">
        <v>23</v>
      </c>
      <c r="F31" s="51">
        <f>SUMIF($A$46:$A$112, 7,$F$46:$F$112) + SUMIF($A$46:$A$112, 7,$K$46:$K$112)</f>
        <v>0</v>
      </c>
    </row>
    <row r="32" spans="1:8" ht="12.95" customHeight="1" x14ac:dyDescent="0.2">
      <c r="A32" s="29">
        <f t="shared" si="1"/>
        <v>23</v>
      </c>
      <c r="B32" s="4" t="s">
        <v>19</v>
      </c>
      <c r="C32" s="5">
        <f>SUMIF($A$47:$A$113, 8,$D$47:$D$113)</f>
        <v>0</v>
      </c>
      <c r="D32" s="5">
        <f t="shared" si="3"/>
        <v>0</v>
      </c>
      <c r="E32" s="28" t="s">
        <v>23</v>
      </c>
      <c r="F32" s="51">
        <f>SUMIF($A$46:$A$112, 8,$F$46:$F$112) + SUMIF($A$46:$A$112, 8,$K$46:$K$112)</f>
        <v>0</v>
      </c>
    </row>
    <row r="33" spans="1:11" ht="12.95" customHeight="1" x14ac:dyDescent="0.2">
      <c r="A33" s="29">
        <f t="shared" si="1"/>
        <v>24</v>
      </c>
      <c r="B33" t="s">
        <v>79</v>
      </c>
      <c r="C33" s="5">
        <f>SUMIF($B$47:$B$113, B33,$D$47:$D$113)</f>
        <v>0</v>
      </c>
      <c r="D33" s="5">
        <f t="shared" si="3"/>
        <v>0</v>
      </c>
      <c r="E33" s="28" t="s">
        <v>23</v>
      </c>
      <c r="F33" s="51">
        <f>SUMIF($B$46:$B$112, B33,$F$46:$F$112) + SUMIF($B$46:$B$112, B33,$K$46:$K$112)</f>
        <v>0</v>
      </c>
    </row>
    <row r="34" spans="1:11" ht="12.95" customHeight="1" x14ac:dyDescent="0.2">
      <c r="A34" s="29">
        <f t="shared" si="1"/>
        <v>25</v>
      </c>
      <c r="B34" t="s">
        <v>20</v>
      </c>
      <c r="C34" s="5">
        <f>SUMIF($B$47:$B$113, B34,$D$47:$D$113)</f>
        <v>0.75001442335429525</v>
      </c>
      <c r="D34" s="5">
        <f t="shared" si="3"/>
        <v>493.76912809766964</v>
      </c>
      <c r="E34" s="28" t="s">
        <v>23</v>
      </c>
      <c r="F34" s="51">
        <f t="shared" ref="F34:F35" si="4">SUMIF($B$46:$B$112, B34,$F$46:$F$112) + SUMIF($B$46:$B$112, B34,$K$46:$K$112)</f>
        <v>370.33396788032684</v>
      </c>
    </row>
    <row r="35" spans="1:11" ht="12.95" customHeight="1" x14ac:dyDescent="0.2">
      <c r="A35" s="29">
        <f t="shared" si="1"/>
        <v>26</v>
      </c>
      <c r="B35" t="s">
        <v>80</v>
      </c>
      <c r="C35" s="5">
        <f>SUMIF($B$47:$B$113, B35,$D$47:$D$113)</f>
        <v>0</v>
      </c>
      <c r="D35" s="5">
        <f t="shared" si="3"/>
        <v>0</v>
      </c>
      <c r="E35" s="28" t="s">
        <v>23</v>
      </c>
      <c r="F35" s="51">
        <f t="shared" si="4"/>
        <v>0</v>
      </c>
    </row>
    <row r="36" spans="1:11" x14ac:dyDescent="0.2">
      <c r="F36" s="50"/>
      <c r="G36" s="16"/>
    </row>
    <row r="37" spans="1:11" x14ac:dyDescent="0.2">
      <c r="F37" s="50"/>
      <c r="G37" s="16"/>
    </row>
    <row r="38" spans="1:11" x14ac:dyDescent="0.2">
      <c r="B38" s="4"/>
      <c r="C38" s="5"/>
      <c r="D38" s="17"/>
      <c r="E38" s="7"/>
      <c r="F38" s="52"/>
      <c r="G38" s="16"/>
    </row>
    <row r="39" spans="1:11" x14ac:dyDescent="0.2">
      <c r="A39" s="31"/>
      <c r="B39" s="53" t="s">
        <v>84</v>
      </c>
      <c r="C39" s="46"/>
      <c r="D39" s="54"/>
      <c r="E39" s="55"/>
      <c r="F39" s="169">
        <f>SUM(F10:F35)</f>
        <v>3860.584050737305</v>
      </c>
      <c r="G39" s="16"/>
    </row>
    <row r="40" spans="1:11" x14ac:dyDescent="0.2">
      <c r="A40" s="31"/>
      <c r="B40" s="34"/>
      <c r="C40" s="31"/>
      <c r="D40" s="35"/>
      <c r="E40" s="36"/>
      <c r="F40" s="16"/>
      <c r="G40" s="16"/>
    </row>
    <row r="41" spans="1:11" x14ac:dyDescent="0.2">
      <c r="F41" s="10"/>
      <c r="G41" s="12"/>
    </row>
    <row r="42" spans="1:11" x14ac:dyDescent="0.2">
      <c r="F42" s="10"/>
      <c r="H42" s="45" t="s">
        <v>148</v>
      </c>
      <c r="I42" s="45"/>
      <c r="J42" s="45"/>
      <c r="K42" s="45"/>
    </row>
    <row r="43" spans="1:11" ht="25.5" x14ac:dyDescent="0.2">
      <c r="A43" s="23" t="s">
        <v>85</v>
      </c>
      <c r="B43" s="41" t="s">
        <v>86</v>
      </c>
      <c r="C43" s="46" t="s">
        <v>81</v>
      </c>
      <c r="D43" s="47" t="s">
        <v>82</v>
      </c>
      <c r="E43" s="24" t="s">
        <v>27</v>
      </c>
      <c r="F43" s="23" t="s">
        <v>26</v>
      </c>
      <c r="G43" s="13"/>
      <c r="H43" s="44" t="s">
        <v>143</v>
      </c>
      <c r="I43" s="47" t="s">
        <v>82</v>
      </c>
      <c r="J43" s="24" t="s">
        <v>27</v>
      </c>
      <c r="K43" s="23" t="s">
        <v>149</v>
      </c>
    </row>
    <row r="44" spans="1:11" x14ac:dyDescent="0.2">
      <c r="E44" s="8"/>
    </row>
    <row r="45" spans="1:11" x14ac:dyDescent="0.2">
      <c r="E45" s="8"/>
    </row>
    <row r="46" spans="1:11" x14ac:dyDescent="0.2">
      <c r="A46" s="158">
        <v>1</v>
      </c>
      <c r="B46" s="107" t="s">
        <v>28</v>
      </c>
      <c r="C46" s="5">
        <f>SUMIFS(Physician_Visit_June,Physician_Visit_Practice,June!B46,Physician_Visit_Hospitalists, "&lt;&gt;"&amp;'Physician Types'!$D$81)+SUMIFS(Physician_Visit_June,Physician_Visit_Practice,June!B46,Physician_Visit_Hospitalists,'Physician Types'!$D$81)*INDEX(Physician_Type_Hospitalists_Visit_Minutes,MATCH(June!B46,Physician_Type_Practice,0))/INDEX(Physician_Type_Visit_Minutes,MATCH(June!B46,Physician_Type_Practice,0)) +SUMIF(Physician_Minutes_Practice,June!B46,Physician_Minutes_June)/INDEX(Physician_Type_Visit_Minutes,MATCH(June!B46,Physician_Type_Practice,0))</f>
        <v>0</v>
      </c>
      <c r="D46" s="43">
        <f t="shared" ref="D46:D77" si="5">C46*INDEX(Physician_Type_Visit_Minutes,MATCH(B46,Physician_Type_Practice,0))/INDEX(Physician_Type_FTE_Minutes,MATCH(B46,Physician_Type_Practice,0))</f>
        <v>0</v>
      </c>
      <c r="E46" s="17">
        <f>INDEX(Physician_Type_Bed_Rate,MATCH(June!B46,Physician_Type_Practice,0))*'Hospital Input Page'!$C$4</f>
        <v>925.08524394583173</v>
      </c>
      <c r="F46" s="9">
        <f>D46*E46</f>
        <v>0</v>
      </c>
      <c r="H46" s="5">
        <f t="array" ref="H46">SUMIFS(Physician_Visit_June, Physician_Visit_Practice, June!B46, Independent_Contractor_Visits,  'Physician Types'!$D$81) + SUMIFS(Physician_Minutes_June,Physician_Minutes_Practice,June!B46, Independent_Contractor_Minutes, 'Physician Types'!$D$81)/INDEX(Physician_Type_Visit_Minutes,MATCH(June!B46,Physician_Type_Practice,0))</f>
        <v>0</v>
      </c>
      <c r="I46" s="43">
        <f t="shared" ref="I46:I77" si="6">H46*INDEX(Physician_Type_Visit_Minutes,MATCH(B46,Physician_Type_Practice,0))/INDEX(Physician_Type_FTE_Minutes,MATCH(B46,Physician_Type_Practice,0))</f>
        <v>0</v>
      </c>
      <c r="J46" s="10">
        <f>E46*'Physician Types'!$E$4</f>
        <v>27.752557318374951</v>
      </c>
      <c r="K46" s="10">
        <f>I46*J46</f>
        <v>0</v>
      </c>
    </row>
    <row r="47" spans="1:11" x14ac:dyDescent="0.2">
      <c r="A47" s="158">
        <v>1</v>
      </c>
      <c r="B47" s="107" t="s">
        <v>29</v>
      </c>
      <c r="C47" s="5">
        <f>SUMIFS(Physician_Visit_June,Physician_Visit_Practice,June!B47,Physician_Visit_Hospitalists, "&lt;&gt;"&amp;'Physician Types'!$D$81)+SUMIFS(Physician_Visit_June,Physician_Visit_Practice,June!B47,Physician_Visit_Hospitalists,'Physician Types'!$D$81)*INDEX(Physician_Type_Hospitalists_Visit_Minutes,MATCH(June!B47,Physician_Type_Practice,0))/INDEX(Physician_Type_Visit_Minutes,MATCH(June!B47,Physician_Type_Practice,0)) +SUMIF(Physician_Minutes_Practice,June!B47,Physician_Minutes_June)/INDEX(Physician_Type_Visit_Minutes,MATCH(June!B47,Physician_Type_Practice,0))</f>
        <v>0</v>
      </c>
      <c r="D47" s="43">
        <f t="shared" si="5"/>
        <v>0</v>
      </c>
      <c r="E47" s="17">
        <f>INDEX(Physician_Type_Bed_Rate,MATCH(June!B47,Physician_Type_Practice,0))*'Hospital Input Page'!$C$4</f>
        <v>993.39322609373073</v>
      </c>
      <c r="F47" s="9">
        <f t="shared" ref="F47:F111" si="7">D47*E47</f>
        <v>0</v>
      </c>
      <c r="H47" s="5">
        <f t="array" ref="H47">SUMIFS(Physician_Visit_June, Physician_Visit_Practice, June!B47, Independent_Contractor_Visits,  'Physician Types'!$D$81) + SUMIFS(Physician_Minutes_June,Physician_Minutes_Practice,June!B47, Independent_Contractor_Minutes, 'Physician Types'!$D$81)/INDEX(Physician_Type_Visit_Minutes,MATCH(June!B47,Physician_Type_Practice,0))</f>
        <v>0</v>
      </c>
      <c r="I47" s="43">
        <f t="shared" si="6"/>
        <v>0</v>
      </c>
      <c r="J47" s="10">
        <f>E47*'Physician Types'!$E$4</f>
        <v>29.80179678281192</v>
      </c>
      <c r="K47" s="10">
        <f t="shared" ref="K47:K111" si="8">I47*J47</f>
        <v>0</v>
      </c>
    </row>
    <row r="48" spans="1:11" x14ac:dyDescent="0.2">
      <c r="A48" s="158">
        <v>4</v>
      </c>
      <c r="B48" s="102" t="s">
        <v>60</v>
      </c>
      <c r="C48" s="5">
        <f>SUMIFS(Physician_Visit_June,Physician_Visit_Practice,June!B48,Physician_Visit_Hospitalists, "&lt;&gt;"&amp;'Physician Types'!$D$81)+SUMIFS(Physician_Visit_June,Physician_Visit_Practice,June!B48,Physician_Visit_Hospitalists,'Physician Types'!$D$81)*INDEX(Physician_Type_Hospitalists_Visit_Minutes,MATCH(June!B48,Physician_Type_Practice,0))/INDEX(Physician_Type_Visit_Minutes,MATCH(June!B48,Physician_Type_Practice,0)) +SUMIF(Physician_Minutes_Practice,June!B48,Physician_Minutes_June)/INDEX(Physician_Type_Visit_Minutes,MATCH(June!B48,Physician_Type_Practice,0))</f>
        <v>0</v>
      </c>
      <c r="D48" s="43">
        <f t="shared" si="5"/>
        <v>0</v>
      </c>
      <c r="E48" s="17">
        <f>INDEX(Physician_Type_Bed_Rate,MATCH(June!B48,Physician_Type_Practice,0))*'Hospital Input Page'!$C$4</f>
        <v>2699.1411231584075</v>
      </c>
      <c r="F48" s="9">
        <f t="shared" si="7"/>
        <v>0</v>
      </c>
      <c r="H48" s="5">
        <f>SUMIFS(Physician_Visit_June,Physician_Visit_Practice,June!B48,Independent_Contractor_Visits, "&lt;&gt;"&amp;'Physician Types'!$D$81)+SUMIFS(Physician_Visit_June,Physician_Visit_Practice,June!B48,Independent_Contractor_Visits,'Physician Types'!$D$81)*INDEX(Physician_Type_Hospitalists_Visit_Minutes,MATCH(June!B48,Physician_Type_Practice,0))/INDEX(Physician_Type_Visit_Minutes,MATCH(June!B48,Physician_Type_Practice,0)) +SUMIF(Physician_Minutes_Practice,June!B48,Physician_Minutes_June)/INDEX(Physician_Type_Visit_Minutes,MATCH(June!B48,Physician_Type_Practice,0))</f>
        <v>0</v>
      </c>
      <c r="I48" s="43">
        <f t="shared" si="6"/>
        <v>0</v>
      </c>
      <c r="J48" s="10">
        <f>E48*'Physician Types'!$E$4</f>
        <v>80.974233694752215</v>
      </c>
      <c r="K48" s="10">
        <f t="shared" si="8"/>
        <v>0</v>
      </c>
    </row>
    <row r="49" spans="1:11" x14ac:dyDescent="0.2">
      <c r="A49" s="158">
        <v>4</v>
      </c>
      <c r="B49" s="102" t="s">
        <v>61</v>
      </c>
      <c r="C49" s="5">
        <f>SUMIFS(Physician_Visit_June,Physician_Visit_Practice,June!B49,Physician_Visit_Hospitalists, "&lt;&gt;"&amp;'Physician Types'!$D$81)+SUMIFS(Physician_Visit_June,Physician_Visit_Practice,June!B49,Physician_Visit_Hospitalists,'Physician Types'!$D$81)*INDEX(Physician_Type_Hospitalists_Visit_Minutes,MATCH(June!B49,Physician_Type_Practice,0))/INDEX(Physician_Type_Visit_Minutes,MATCH(June!B49,Physician_Type_Practice,0)) +SUMIF(Physician_Minutes_Practice,June!B49,Physician_Minutes_June)/INDEX(Physician_Type_Visit_Minutes,MATCH(June!B49,Physician_Type_Practice,0))</f>
        <v>0</v>
      </c>
      <c r="D49" s="43">
        <f t="shared" si="5"/>
        <v>0</v>
      </c>
      <c r="E49" s="17">
        <f>INDEX(Physician_Type_Bed_Rate,MATCH(June!B49,Physician_Type_Practice,0))*'Hospital Input Page'!$C$4</f>
        <v>3071.9075400226566</v>
      </c>
      <c r="F49" s="9">
        <f t="shared" si="7"/>
        <v>0</v>
      </c>
      <c r="H49" s="5">
        <f>SUMIFS(Physician_Visit_June,Physician_Visit_Practice,June!B49,Independent_Contractor_Visits, "&lt;&gt;"&amp;'Physician Types'!$D$81)+SUMIFS(Physician_Visit_June,Physician_Visit_Practice,June!B49,Independent_Contractor_Visits,'Physician Types'!$D$81)*INDEX(Physician_Type_Hospitalists_Visit_Minutes,MATCH(June!B49,Physician_Type_Practice,0))/INDEX(Physician_Type_Visit_Minutes,MATCH(June!B49,Physician_Type_Practice,0)) +SUMIF(Physician_Minutes_Practice,June!B49,Physician_Minutes_June)/INDEX(Physician_Type_Visit_Minutes,MATCH(June!B49,Physician_Type_Practice,0))</f>
        <v>0</v>
      </c>
      <c r="I49" s="43">
        <f t="shared" si="6"/>
        <v>0</v>
      </c>
      <c r="J49" s="10">
        <f>E49*'Physician Types'!$E$4</f>
        <v>92.157226200679688</v>
      </c>
      <c r="K49" s="10">
        <f t="shared" si="8"/>
        <v>0</v>
      </c>
    </row>
    <row r="50" spans="1:11" x14ac:dyDescent="0.2">
      <c r="A50" s="158">
        <v>2</v>
      </c>
      <c r="B50" s="107" t="s">
        <v>34</v>
      </c>
      <c r="C50" s="5">
        <f>SUMIFS(Physician_Visit_June,Physician_Visit_Practice,June!B50,Physician_Visit_Hospitalists, "&lt;&gt;"&amp;'Physician Types'!$D$81)+SUMIFS(Physician_Visit_June,Physician_Visit_Practice,June!B50,Physician_Visit_Hospitalists,'Physician Types'!$D$81)*INDEX(Physician_Type_Hospitalists_Visit_Minutes,MATCH(June!B50,Physician_Type_Practice,0))/INDEX(Physician_Type_Visit_Minutes,MATCH(June!B50,Physician_Type_Practice,0)) +SUMIF(Physician_Minutes_Practice,June!B50,Physician_Minutes_June)/INDEX(Physician_Type_Visit_Minutes,MATCH(June!B50,Physician_Type_Practice,0))</f>
        <v>0</v>
      </c>
      <c r="D50" s="43">
        <f t="shared" si="5"/>
        <v>0</v>
      </c>
      <c r="E50" s="17">
        <f>INDEX(Physician_Type_Bed_Rate,MATCH(June!B50,Physician_Type_Practice,0))*'Hospital Input Page'!$C$4</f>
        <v>1619.8750052216039</v>
      </c>
      <c r="F50" s="9">
        <f t="shared" si="7"/>
        <v>0</v>
      </c>
      <c r="H50" s="5">
        <f>SUMIFS(Physician_Visit_June,Physician_Visit_Practice,June!B50,Independent_Contractor_Visits, "&lt;&gt;"&amp;'Physician Types'!$D$81)+SUMIFS(Physician_Visit_June,Physician_Visit_Practice,June!B50,Independent_Contractor_Visits,'Physician Types'!$D$81)*INDEX(Physician_Type_Hospitalists_Visit_Minutes,MATCH(June!B50,Physician_Type_Practice,0))/INDEX(Physician_Type_Visit_Minutes,MATCH(June!B50,Physician_Type_Practice,0)) +SUMIF(Physician_Minutes_Practice,June!B50,Physician_Minutes_June)/INDEX(Physician_Type_Visit_Minutes,MATCH(June!B50,Physician_Type_Practice,0))</f>
        <v>0</v>
      </c>
      <c r="I50" s="43">
        <f t="shared" si="6"/>
        <v>0</v>
      </c>
      <c r="J50" s="10">
        <f>E50*'Physician Types'!$E$4</f>
        <v>48.596250156648118</v>
      </c>
      <c r="K50" s="10">
        <f t="shared" si="8"/>
        <v>0</v>
      </c>
    </row>
    <row r="51" spans="1:11" x14ac:dyDescent="0.2">
      <c r="A51" s="158">
        <v>7</v>
      </c>
      <c r="B51" s="102" t="s">
        <v>72</v>
      </c>
      <c r="C51" s="5">
        <f>SUMIFS(Physician_Visit_June,Physician_Visit_Practice,June!B51,Physician_Visit_Hospitalists, "&lt;&gt;"&amp;'Physician Types'!$D$81)+SUMIFS(Physician_Visit_June,Physician_Visit_Practice,June!B51,Physician_Visit_Hospitalists,'Physician Types'!$D$81)*INDEX(Physician_Type_Hospitalists_Visit_Minutes,MATCH(June!B51,Physician_Type_Practice,0))/INDEX(Physician_Type_Visit_Minutes,MATCH(June!B51,Physician_Type_Practice,0)) +SUMIF(Physician_Minutes_Practice,June!B51,Physician_Minutes_June)/INDEX(Physician_Type_Visit_Minutes,MATCH(June!B51,Physician_Type_Practice,0))</f>
        <v>0</v>
      </c>
      <c r="D51" s="43">
        <f t="shared" si="5"/>
        <v>0</v>
      </c>
      <c r="E51" s="17">
        <f>INDEX(Physician_Type_Bed_Rate,MATCH(June!B51,Physician_Type_Practice,0))*'Hospital Input Page'!$C$4</f>
        <v>7974.4690016090053</v>
      </c>
      <c r="F51" s="9">
        <f t="shared" si="7"/>
        <v>0</v>
      </c>
      <c r="H51" s="5">
        <f>SUMIFS(Physician_Visit_June,Physician_Visit_Practice,June!B51,Independent_Contractor_Visits, "&lt;&gt;"&amp;'Physician Types'!$D$81)+SUMIFS(Physician_Visit_June,Physician_Visit_Practice,June!B51,Independent_Contractor_Visits,'Physician Types'!$D$81)*INDEX(Physician_Type_Hospitalists_Visit_Minutes,MATCH(June!B51,Physician_Type_Practice,0))/INDEX(Physician_Type_Visit_Minutes,MATCH(June!B51,Physician_Type_Practice,0)) +SUMIF(Physician_Minutes_Practice,June!B51,Physician_Minutes_June)/INDEX(Physician_Type_Visit_Minutes,MATCH(June!B51,Physician_Type_Practice,0))</f>
        <v>0</v>
      </c>
      <c r="I51" s="43">
        <f t="shared" si="6"/>
        <v>0</v>
      </c>
      <c r="J51" s="10">
        <f>E51*'Physician Types'!$E$4</f>
        <v>239.23407004827015</v>
      </c>
      <c r="K51" s="10">
        <f t="shared" si="8"/>
        <v>0</v>
      </c>
    </row>
    <row r="52" spans="1:11" x14ac:dyDescent="0.2">
      <c r="A52" s="158">
        <v>6</v>
      </c>
      <c r="B52" s="102" t="s">
        <v>69</v>
      </c>
      <c r="C52" s="5">
        <f>SUMIFS(Physician_Visit_June,Physician_Visit_Practice,June!B52,Physician_Visit_Hospitalists, "&lt;&gt;"&amp;'Physician Types'!$D$81)+SUMIFS(Physician_Visit_June,Physician_Visit_Practice,June!B52,Physician_Visit_Hospitalists,'Physician Types'!$D$81)*INDEX(Physician_Type_Hospitalists_Visit_Minutes,MATCH(June!B52,Physician_Type_Practice,0))/INDEX(Physician_Type_Visit_Minutes,MATCH(June!B52,Physician_Type_Practice,0)) +SUMIF(Physician_Minutes_Practice,June!B52,Physician_Minutes_June)/INDEX(Physician_Type_Visit_Minutes,MATCH(June!B52,Physician_Type_Practice,0))</f>
        <v>0</v>
      </c>
      <c r="D52" s="43">
        <f t="shared" si="5"/>
        <v>0</v>
      </c>
      <c r="E52" s="17">
        <f>INDEX(Physician_Type_Bed_Rate,MATCH(June!B52,Physician_Type_Practice,0))*'Hospital Input Page'!$C$4</f>
        <v>3534.4501619955722</v>
      </c>
      <c r="F52" s="9">
        <f t="shared" si="7"/>
        <v>0</v>
      </c>
      <c r="H52" s="5">
        <f>SUMIFS(Physician_Visit_June,Physician_Visit_Practice,June!B52,Independent_Contractor_Visits, "&lt;&gt;"&amp;'Physician Types'!$D$81)+SUMIFS(Physician_Visit_June,Physician_Visit_Practice,June!B52,Independent_Contractor_Visits,'Physician Types'!$D$81)*INDEX(Physician_Type_Hospitalists_Visit_Minutes,MATCH(June!B52,Physician_Type_Practice,0))/INDEX(Physician_Type_Visit_Minutes,MATCH(June!B52,Physician_Type_Practice,0)) +SUMIF(Physician_Minutes_Practice,June!B52,Physician_Minutes_June)/INDEX(Physician_Type_Visit_Minutes,MATCH(June!B52,Physician_Type_Practice,0))</f>
        <v>0</v>
      </c>
      <c r="I52" s="43">
        <f t="shared" si="6"/>
        <v>0</v>
      </c>
      <c r="J52" s="10">
        <f>E52*'Physician Types'!$E$4</f>
        <v>106.03350485986716</v>
      </c>
      <c r="K52" s="10">
        <f t="shared" si="8"/>
        <v>0</v>
      </c>
    </row>
    <row r="53" spans="1:11" x14ac:dyDescent="0.2">
      <c r="A53" s="158">
        <v>2</v>
      </c>
      <c r="B53" s="107" t="s">
        <v>35</v>
      </c>
      <c r="C53" s="5">
        <f>SUMIFS(Physician_Visit_June,Physician_Visit_Practice,June!B53,Physician_Visit_Hospitalists, "&lt;&gt;"&amp;'Physician Types'!$D$81)+SUMIFS(Physician_Visit_June,Physician_Visit_Practice,June!B53,Physician_Visit_Hospitalists,'Physician Types'!$D$81)*INDEX(Physician_Type_Hospitalists_Visit_Minutes,MATCH(June!B53,Physician_Type_Practice,0))/INDEX(Physician_Type_Visit_Minutes,MATCH(June!B53,Physician_Type_Practice,0)) +SUMIF(Physician_Minutes_Practice,June!B53,Physician_Minutes_June)/INDEX(Physician_Type_Visit_Minutes,MATCH(June!B53,Physician_Type_Practice,0))</f>
        <v>0</v>
      </c>
      <c r="D53" s="43">
        <f t="shared" si="5"/>
        <v>0</v>
      </c>
      <c r="E53" s="17">
        <f>INDEX(Physician_Type_Bed_Rate,MATCH(June!B53,Physician_Type_Practice,0))*'Hospital Input Page'!$C$4</f>
        <v>993.39322609373073</v>
      </c>
      <c r="F53" s="9">
        <f t="shared" si="7"/>
        <v>0</v>
      </c>
      <c r="H53" s="5">
        <f>SUMIFS(Physician_Visit_June,Physician_Visit_Practice,June!B53,Independent_Contractor_Visits, "&lt;&gt;"&amp;'Physician Types'!$D$81)+SUMIFS(Physician_Visit_June,Physician_Visit_Practice,June!B53,Independent_Contractor_Visits,'Physician Types'!$D$81)*INDEX(Physician_Type_Hospitalists_Visit_Minutes,MATCH(June!B53,Physician_Type_Practice,0))/INDEX(Physician_Type_Visit_Minutes,MATCH(June!B53,Physician_Type_Practice,0)) +SUMIF(Physician_Minutes_Practice,June!B53,Physician_Minutes_June)/INDEX(Physician_Type_Visit_Minutes,MATCH(June!B53,Physician_Type_Practice,0))</f>
        <v>0</v>
      </c>
      <c r="I53" s="43">
        <f t="shared" si="6"/>
        <v>0</v>
      </c>
      <c r="J53" s="10">
        <f>E53*'Physician Types'!$E$4</f>
        <v>29.80179678281192</v>
      </c>
      <c r="K53" s="10">
        <f t="shared" si="8"/>
        <v>0</v>
      </c>
    </row>
    <row r="54" spans="1:11" x14ac:dyDescent="0.2">
      <c r="A54" s="158"/>
      <c r="B54" s="161" t="s">
        <v>136</v>
      </c>
      <c r="C54" s="5">
        <f>SUMIFS(Physician_Visit_June,Physician_Visit_Practice,June!B54,Physician_Visit_Hospitalists, "&lt;&gt;"&amp;'Physician Types'!$D$81)+SUMIFS(Physician_Visit_June,Physician_Visit_Practice,June!B54,Physician_Visit_Hospitalists,'Physician Types'!$D$81)*INDEX(Physician_Type_Hospitalists_Visit_Minutes,MATCH(June!B54,Physician_Type_Practice,0))/INDEX(Physician_Type_Visit_Minutes,MATCH(June!B54,Physician_Type_Practice,0)) +SUMIF(Physician_Minutes_Practice,June!B54,Physician_Minutes_June)/INDEX(Physician_Type_Visit_Minutes,MATCH(June!B54,Physician_Type_Practice,0))</f>
        <v>80</v>
      </c>
      <c r="D54" s="43">
        <f t="shared" si="5"/>
        <v>0.11538683436219926</v>
      </c>
      <c r="E54" s="17">
        <f>INDEX(Physician_Type_Bed_Rate,MATCH(June!B54,Physician_Type_Practice,0))*'Hospital Input Page'!$C$4</f>
        <v>1727.2161200254454</v>
      </c>
      <c r="F54" s="9">
        <f>C54*E54/100</f>
        <v>1381.7728960203563</v>
      </c>
      <c r="H54" s="5">
        <f>SUMIFS(Physician_Visit_June, Physician_Visit_Practice, June!B54, Independent_Contractor_Visits, 'Physician Types'!$D$81)</f>
        <v>0</v>
      </c>
      <c r="I54" s="43">
        <f t="shared" si="6"/>
        <v>0</v>
      </c>
      <c r="J54" s="10">
        <f>E54*'Physician Types'!$E$4</f>
        <v>51.816483600763362</v>
      </c>
      <c r="K54" s="10">
        <f t="shared" si="8"/>
        <v>0</v>
      </c>
    </row>
    <row r="55" spans="1:11" x14ac:dyDescent="0.2">
      <c r="A55" s="158">
        <v>2</v>
      </c>
      <c r="B55" s="107" t="s">
        <v>36</v>
      </c>
      <c r="C55" s="5">
        <f>SUMIFS(Physician_Visit_June,Physician_Visit_Practice,June!B55,Physician_Visit_Hospitalists, "&lt;&gt;"&amp;'Physician Types'!$D$81)+SUMIFS(Physician_Visit_June,Physician_Visit_Practice,June!B55,Physician_Visit_Hospitalists,'Physician Types'!$D$81)*INDEX(Physician_Type_Hospitalists_Visit_Minutes,MATCH(June!B55,Physician_Type_Practice,0))/INDEX(Physician_Type_Visit_Minutes,MATCH(June!B55,Physician_Type_Practice,0)) +SUMIF(Physician_Minutes_Practice,June!B55,Physician_Minutes_June)/INDEX(Physician_Type_Visit_Minutes,MATCH(June!B55,Physician_Type_Practice,0))</f>
        <v>0</v>
      </c>
      <c r="D55" s="43">
        <f t="shared" si="5"/>
        <v>0</v>
      </c>
      <c r="E55" s="17">
        <f>INDEX(Physician_Type_Bed_Rate,MATCH(June!B55,Physician_Type_Practice,0))*'Hospital Input Page'!$C$4</f>
        <v>2544.9602491674359</v>
      </c>
      <c r="F55" s="9">
        <f t="shared" si="7"/>
        <v>0</v>
      </c>
      <c r="H55" s="5">
        <f>SUMIFS(Physician_Visit_June,Physician_Visit_Practice,June!B55,Independent_Contractor_Visits, "&lt;&gt;"&amp;'Physician Types'!$D$81)+SUMIFS(Physician_Visit_June,Physician_Visit_Practice,June!B55,Independent_Contractor_Visits,'Physician Types'!$D$81)*INDEX(Physician_Type_Hospitalists_Visit_Minutes,MATCH(June!B55,Physician_Type_Practice,0))/INDEX(Physician_Type_Visit_Minutes,MATCH(June!B55,Physician_Type_Practice,0)) +SUMIF(Physician_Minutes_Practice,June!B55,Physician_Minutes_June)/INDEX(Physician_Type_Visit_Minutes,MATCH(June!B55,Physician_Type_Practice,0))</f>
        <v>0</v>
      </c>
      <c r="I55" s="43">
        <f t="shared" si="6"/>
        <v>0</v>
      </c>
      <c r="J55" s="10">
        <f>E55*'Physician Types'!$E$4</f>
        <v>76.348807475023079</v>
      </c>
      <c r="K55" s="10">
        <f t="shared" si="8"/>
        <v>0</v>
      </c>
    </row>
    <row r="56" spans="1:11" x14ac:dyDescent="0.2">
      <c r="A56" s="158">
        <v>2</v>
      </c>
      <c r="B56" s="107" t="s">
        <v>37</v>
      </c>
      <c r="C56" s="5">
        <f>SUMIFS(Physician_Visit_June,Physician_Visit_Practice,June!B56,Physician_Visit_Hospitalists, "&lt;&gt;"&amp;'Physician Types'!$D$81)+SUMIFS(Physician_Visit_June,Physician_Visit_Practice,June!B56,Physician_Visit_Hospitalists,'Physician Types'!$D$81)*INDEX(Physician_Type_Hospitalists_Visit_Minutes,MATCH(June!B56,Physician_Type_Practice,0))/INDEX(Physician_Type_Visit_Minutes,MATCH(June!B56,Physician_Type_Practice,0)) +SUMIF(Physician_Minutes_Practice,June!B56,Physician_Minutes_June)/INDEX(Physician_Type_Visit_Minutes,MATCH(June!B56,Physician_Type_Practice,0))</f>
        <v>0</v>
      </c>
      <c r="D56" s="43">
        <f t="shared" si="5"/>
        <v>0</v>
      </c>
      <c r="E56" s="17">
        <f>INDEX(Physician_Type_Bed_Rate,MATCH(June!B56,Physician_Type_Practice,0))*'Hospital Input Page'!$C$4</f>
        <v>1567.1802761360821</v>
      </c>
      <c r="F56" s="9">
        <f t="shared" si="7"/>
        <v>0</v>
      </c>
      <c r="H56" s="5">
        <f t="array" ref="H56">SUMIFS(Physician_Visit_June, Physician_Visit_Practice, June!B56, Independent_Contractor_Visits,  'Physician Types'!$D$81) + SUMIFS(Physician_Minutes_June,Physician_Minutes_Practice,June!B56, Independent_Contractor_Minutes, 'Physician Types'!$D$81)/INDEX(Physician_Type_Visit_Minutes,MATCH(June!B56,Physician_Type_Practice,0))</f>
        <v>0</v>
      </c>
      <c r="I56" s="43">
        <f t="shared" si="6"/>
        <v>0</v>
      </c>
      <c r="J56" s="10">
        <f>E56*'Physician Types'!$E$4</f>
        <v>47.015408284082461</v>
      </c>
      <c r="K56" s="10">
        <f t="shared" si="8"/>
        <v>0</v>
      </c>
    </row>
    <row r="57" spans="1:11" x14ac:dyDescent="0.2">
      <c r="A57" s="158">
        <v>2</v>
      </c>
      <c r="B57" s="107" t="s">
        <v>38</v>
      </c>
      <c r="C57" s="5">
        <f>SUMIFS(Physician_Visit_June,Physician_Visit_Practice,June!B57,Physician_Visit_Hospitalists, "&lt;&gt;"&amp;'Physician Types'!$D$81)+SUMIFS(Physician_Visit_June,Physician_Visit_Practice,June!B57,Physician_Visit_Hospitalists,'Physician Types'!$D$81)*INDEX(Physician_Type_Hospitalists_Visit_Minutes,MATCH(June!B57,Physician_Type_Practice,0))/INDEX(Physician_Type_Visit_Minutes,MATCH(June!B57,Physician_Type_Practice,0)) +SUMIF(Physician_Minutes_Practice,June!B57,Physician_Minutes_June)/INDEX(Physician_Type_Visit_Minutes,MATCH(June!B57,Physician_Type_Practice,0))</f>
        <v>0</v>
      </c>
      <c r="D57" s="43">
        <f t="shared" si="5"/>
        <v>0</v>
      </c>
      <c r="E57" s="17">
        <f>INDEX(Physician_Type_Bed_Rate,MATCH(June!B57,Physician_Type_Practice,0))*'Hospital Input Page'!$C$4</f>
        <v>4399.0340503246935</v>
      </c>
      <c r="F57" s="9">
        <f t="shared" si="7"/>
        <v>0</v>
      </c>
      <c r="H57" s="5">
        <f t="array" ref="H57">SUMIFS(Physician_Visit_June, Physician_Visit_Practice, June!B57, Independent_Contractor_Visits,  'Physician Types'!$D$81) + SUMIFS(Physician_Minutes_June,Physician_Minutes_Practice,June!B57, Independent_Contractor_Minutes, 'Physician Types'!$D$81)/INDEX(Physician_Type_Visit_Minutes,MATCH(June!B57,Physician_Type_Practice,0))</f>
        <v>0</v>
      </c>
      <c r="I57" s="43">
        <f t="shared" si="6"/>
        <v>0</v>
      </c>
      <c r="J57" s="10">
        <f>E57*'Physician Types'!$E$4</f>
        <v>131.97102150974081</v>
      </c>
      <c r="K57" s="10">
        <f t="shared" si="8"/>
        <v>0</v>
      </c>
    </row>
    <row r="58" spans="1:11" x14ac:dyDescent="0.2">
      <c r="A58" s="158">
        <v>3</v>
      </c>
      <c r="B58" s="161" t="s">
        <v>155</v>
      </c>
      <c r="C58" s="5">
        <f>SUMIFS(Physician_Visit_June,Physician_Visit_Practice,June!B58,Physician_Visit_Hospitalists, "&lt;&gt;"&amp;'Physician Types'!$D$81)+SUMIFS(Physician_Visit_June,Physician_Visit_Practice,June!B58,Physician_Visit_Hospitalists,'Physician Types'!$D$81)*INDEX(Physician_Type_Hospitalists_Visit_Minutes,MATCH(June!B58,Physician_Type_Practice,0))/INDEX(Physician_Type_Visit_Minutes,MATCH(June!B58,Physician_Type_Practice,0)) +SUMIF(Physician_Minutes_Practice,June!B58,Physician_Minutes_June)/INDEX(Physician_Type_Visit_Minutes,MATCH(June!B58,Physician_Type_Practice,0))</f>
        <v>196</v>
      </c>
      <c r="D58" s="43">
        <f t="shared" si="5"/>
        <v>0.37693032558318423</v>
      </c>
      <c r="E58" s="17">
        <f>INDEX(Physician_Type_Bed_Rate,MATCH(June!B58,Physician_Type_Practice,0))*'Hospital Input Page'!$C$4</f>
        <v>1951.6566327971132</v>
      </c>
      <c r="F58" s="9">
        <f t="shared" si="7"/>
        <v>735.63857002679686</v>
      </c>
      <c r="H58" s="5">
        <f t="array" ref="H58">SUMIFS(Physician_Visit_June, Physician_Visit_Practice, June!B58, Independent_Contractor_Visits,  'Physician Types'!$D$81) + SUMIFS(Physician_Minutes_June,Physician_Minutes_Practice,June!B58, Independent_Contractor_Minutes, 'Physician Types'!$D$81)/INDEX(Physician_Type_Visit_Minutes,MATCH(June!B58,Physician_Type_Practice,0))</f>
        <v>0</v>
      </c>
      <c r="I58" s="43">
        <f t="shared" si="6"/>
        <v>0</v>
      </c>
      <c r="J58" s="10">
        <f>E58*'Physician Types'!$E$4</f>
        <v>58.549698983913395</v>
      </c>
      <c r="K58" s="10">
        <f t="shared" si="8"/>
        <v>0</v>
      </c>
    </row>
    <row r="59" spans="1:11" x14ac:dyDescent="0.2">
      <c r="A59" s="158">
        <v>5</v>
      </c>
      <c r="B59" s="161" t="s">
        <v>137</v>
      </c>
      <c r="C59" s="5">
        <f>SUMIFS(Physician_Visit_June,Physician_Visit_Practice,June!B59,Physician_Visit_Hospitalists, "&lt;&gt;"&amp;'Physician Types'!$D$81)+SUMIFS(Physician_Visit_June,Physician_Visit_Practice,June!B59,Physician_Visit_Hospitalists,'Physician Types'!$D$81)*INDEX(Physician_Type_Hospitalists_Visit_Minutes,MATCH(June!B59,Physician_Type_Practice,0))/INDEX(Physician_Type_Visit_Minutes,MATCH(June!B59,Physician_Type_Practice,0)) +SUMIF(Physician_Minutes_Practice,June!B59,Physician_Minutes_June)/INDEX(Physician_Type_Visit_Minutes,MATCH(June!B59,Physician_Type_Practice,0))</f>
        <v>0</v>
      </c>
      <c r="D59" s="43">
        <f t="shared" si="5"/>
        <v>0</v>
      </c>
      <c r="E59" s="17">
        <f>INDEX(Physician_Type_Bed_Rate,MATCH(June!B59,Physician_Type_Practice,0))*'Hospital Input Page'!$C$4</f>
        <v>4933.7879677111023</v>
      </c>
      <c r="F59" s="9">
        <f t="shared" si="7"/>
        <v>0</v>
      </c>
      <c r="H59" s="5">
        <f t="array" ref="H59">SUMIFS(Physician_Visit_June, Physician_Visit_Practice, June!B59, Independent_Contractor_Visits,  'Physician Types'!$D$81) + SUMIFS(Physician_Minutes_June,Physician_Minutes_Practice,June!B59, Independent_Contractor_Minutes, 'Physician Types'!$D$81)/INDEX(Physician_Type_Visit_Minutes,MATCH(June!B59,Physician_Type_Practice,0))</f>
        <v>0</v>
      </c>
      <c r="I59" s="43">
        <f t="shared" si="6"/>
        <v>0</v>
      </c>
      <c r="J59" s="10">
        <f>E59*'Physician Types'!$E$4</f>
        <v>148.01363903133307</v>
      </c>
      <c r="K59" s="10">
        <f t="shared" si="8"/>
        <v>0</v>
      </c>
    </row>
    <row r="60" spans="1:11" x14ac:dyDescent="0.2">
      <c r="A60" s="158">
        <v>6</v>
      </c>
      <c r="B60" s="102" t="s">
        <v>70</v>
      </c>
      <c r="C60" s="5">
        <f>SUMIFS(Physician_Visit_June,Physician_Visit_Practice,June!B60,Physician_Visit_Hospitalists, "&lt;&gt;"&amp;'Physician Types'!$D$81)+SUMIFS(Physician_Visit_June,Physician_Visit_Practice,June!B60,Physician_Visit_Hospitalists,'Physician Types'!$D$81)*INDEX(Physician_Type_Hospitalists_Visit_Minutes,MATCH(June!B60,Physician_Type_Practice,0))/INDEX(Physician_Type_Visit_Minutes,MATCH(June!B60,Physician_Type_Practice,0)) +SUMIF(Physician_Minutes_Practice,June!B60,Physician_Minutes_June)/INDEX(Physician_Type_Visit_Minutes,MATCH(June!B60,Physician_Type_Practice,0))</f>
        <v>0</v>
      </c>
      <c r="D60" s="43">
        <f t="shared" si="5"/>
        <v>0</v>
      </c>
      <c r="E60" s="17">
        <f>INDEX(Physician_Type_Bed_Rate,MATCH(June!B60,Physician_Type_Practice,0))*'Hospital Input Page'!$C$4</f>
        <v>5179.6967034435384</v>
      </c>
      <c r="F60" s="9">
        <f t="shared" si="7"/>
        <v>0</v>
      </c>
      <c r="H60" s="5">
        <f t="array" ref="H60">SUMIFS(Physician_Visit_June, Physician_Visit_Practice, June!B60, Independent_Contractor_Visits,  'Physician Types'!$D$81) + SUMIFS(Physician_Minutes_June,Physician_Minutes_Practice,June!B60, Independent_Contractor_Minutes, 'Physician Types'!$D$81)/INDEX(Physician_Type_Visit_Minutes,MATCH(June!B60,Physician_Type_Practice,0))</f>
        <v>0</v>
      </c>
      <c r="I60" s="43">
        <f t="shared" si="6"/>
        <v>0</v>
      </c>
      <c r="J60" s="10">
        <f>E60*'Physician Types'!$E$4</f>
        <v>155.39090110330613</v>
      </c>
      <c r="K60" s="10">
        <f t="shared" si="8"/>
        <v>0</v>
      </c>
    </row>
    <row r="61" spans="1:11" x14ac:dyDescent="0.2">
      <c r="A61" s="158">
        <v>2</v>
      </c>
      <c r="B61" s="107" t="s">
        <v>39</v>
      </c>
      <c r="C61" s="5">
        <f>SUMIFS(Physician_Visit_June,Physician_Visit_Practice,June!B61,Physician_Visit_Hospitalists, "&lt;&gt;"&amp;'Physician Types'!$D$81)+SUMIFS(Physician_Visit_June,Physician_Visit_Practice,June!B61,Physician_Visit_Hospitalists,'Physician Types'!$D$81)*INDEX(Physician_Type_Hospitalists_Visit_Minutes,MATCH(June!B61,Physician_Type_Practice,0))/INDEX(Physician_Type_Visit_Minutes,MATCH(June!B61,Physician_Type_Practice,0)) +SUMIF(Physician_Minutes_Practice,June!B61,Physician_Minutes_June)/INDEX(Physician_Type_Visit_Minutes,MATCH(June!B61,Physician_Type_Practice,0))</f>
        <v>0</v>
      </c>
      <c r="D61" s="43">
        <f t="shared" si="5"/>
        <v>0</v>
      </c>
      <c r="E61" s="17">
        <f>INDEX(Physician_Type_Bed_Rate,MATCH(June!B61,Physician_Type_Practice,0))*'Hospital Input Page'!$C$4</f>
        <v>2539.1052792690443</v>
      </c>
      <c r="F61" s="9">
        <f t="shared" si="7"/>
        <v>0</v>
      </c>
      <c r="H61" s="5">
        <f t="array" ref="H61">SUMIFS(Physician_Visit_June, Physician_Visit_Practice, June!B61, Independent_Contractor_Visits,  'Physician Types'!$D$81) + SUMIFS(Physician_Minutes_June,Physician_Minutes_Practice,June!B61, Independent_Contractor_Minutes, 'Physician Types'!$D$81)/INDEX(Physician_Type_Visit_Minutes,MATCH(June!B61,Physician_Type_Practice,0))</f>
        <v>0</v>
      </c>
      <c r="I61" s="43">
        <f t="shared" si="6"/>
        <v>0</v>
      </c>
      <c r="J61" s="10">
        <f>E61*'Physician Types'!$E$4</f>
        <v>76.173158378071321</v>
      </c>
      <c r="K61" s="10">
        <f t="shared" si="8"/>
        <v>0</v>
      </c>
    </row>
    <row r="62" spans="1:11" x14ac:dyDescent="0.2">
      <c r="A62" s="158">
        <v>2</v>
      </c>
      <c r="B62" s="107" t="s">
        <v>40</v>
      </c>
      <c r="C62" s="5">
        <f>SUMIFS(Physician_Visit_June,Physician_Visit_Practice,June!B62,Physician_Visit_Hospitalists, "&lt;&gt;"&amp;'Physician Types'!$D$81)+SUMIFS(Physician_Visit_June,Physician_Visit_Practice,June!B62,Physician_Visit_Hospitalists,'Physician Types'!$D$81)*INDEX(Physician_Type_Hospitalists_Visit_Minutes,MATCH(June!B62,Physician_Type_Practice,0))/INDEX(Physician_Type_Visit_Minutes,MATCH(June!B62,Physician_Type_Practice,0)) +SUMIF(Physician_Minutes_Practice,June!B62,Physician_Minutes_June)/INDEX(Physician_Type_Visit_Minutes,MATCH(June!B62,Physician_Type_Practice,0))</f>
        <v>0</v>
      </c>
      <c r="D62" s="43">
        <f t="shared" si="5"/>
        <v>0</v>
      </c>
      <c r="E62" s="17">
        <f>INDEX(Physician_Type_Bed_Rate,MATCH(June!B62,Physician_Type_Practice,0))*'Hospital Input Page'!$C$4</f>
        <v>1619.8750052216039</v>
      </c>
      <c r="F62" s="9">
        <f t="shared" si="7"/>
        <v>0</v>
      </c>
      <c r="H62" s="5">
        <f t="array" ref="H62">SUMIFS(Physician_Visit_June, Physician_Visit_Practice, June!B62, Independent_Contractor_Visits,  'Physician Types'!$D$81) + SUMIFS(Physician_Minutes_June,Physician_Minutes_Practice,June!B62, Independent_Contractor_Minutes, 'Physician Types'!$D$81)/INDEX(Physician_Type_Visit_Minutes,MATCH(June!B62,Physician_Type_Practice,0))</f>
        <v>0</v>
      </c>
      <c r="I62" s="43">
        <f t="shared" si="6"/>
        <v>0</v>
      </c>
      <c r="J62" s="10">
        <f>E62*'Physician Types'!$E$4</f>
        <v>48.596250156648118</v>
      </c>
      <c r="K62" s="10">
        <f t="shared" si="8"/>
        <v>0</v>
      </c>
    </row>
    <row r="63" spans="1:11" x14ac:dyDescent="0.2">
      <c r="A63" s="158">
        <v>2</v>
      </c>
      <c r="B63" s="107" t="s">
        <v>41</v>
      </c>
      <c r="C63" s="5">
        <f>SUMIFS(Physician_Visit_June,Physician_Visit_Practice,June!B63,Physician_Visit_Hospitalists, "&lt;&gt;"&amp;'Physician Types'!$D$81)+SUMIFS(Physician_Visit_June,Physician_Visit_Practice,June!B63,Physician_Visit_Hospitalists,'Physician Types'!$D$81)*INDEX(Physician_Type_Hospitalists_Visit_Minutes,MATCH(June!B63,Physician_Type_Practice,0))/INDEX(Physician_Type_Visit_Minutes,MATCH(June!B63,Physician_Type_Practice,0)) +SUMIF(Physician_Minutes_Practice,June!B63,Physician_Minutes_June)/INDEX(Physician_Type_Visit_Minutes,MATCH(June!B63,Physician_Type_Practice,0))</f>
        <v>0</v>
      </c>
      <c r="D63" s="43">
        <f t="shared" si="5"/>
        <v>0</v>
      </c>
      <c r="E63" s="17">
        <f>INDEX(Physician_Type_Bed_Rate,MATCH(June!B63,Physician_Type_Practice,0))*'Hospital Input Page'!$C$4</f>
        <v>4844.0117626024357</v>
      </c>
      <c r="F63" s="9">
        <f t="shared" si="7"/>
        <v>0</v>
      </c>
      <c r="H63" s="5">
        <f t="array" ref="H63">SUMIFS(Physician_Visit_June, Physician_Visit_Practice, June!B63, Independent_Contractor_Visits,  'Physician Types'!$D$81) + SUMIFS(Physician_Minutes_June,Physician_Minutes_Practice,June!B63, Independent_Contractor_Minutes, 'Physician Types'!$D$81)/INDEX(Physician_Type_Visit_Minutes,MATCH(June!B63,Physician_Type_Practice,0))</f>
        <v>0</v>
      </c>
      <c r="I63" s="43">
        <f t="shared" si="6"/>
        <v>0</v>
      </c>
      <c r="J63" s="10">
        <f>E63*'Physician Types'!$E$4</f>
        <v>145.32035287807307</v>
      </c>
      <c r="K63" s="10">
        <f t="shared" si="8"/>
        <v>0</v>
      </c>
    </row>
    <row r="64" spans="1:11" x14ac:dyDescent="0.2">
      <c r="A64" s="158">
        <v>6</v>
      </c>
      <c r="B64" s="128" t="s">
        <v>138</v>
      </c>
      <c r="C64" s="5">
        <f>SUMIFS(Physician_Visit_June,Physician_Visit_Practice,June!B64,Physician_Visit_Hospitalists, "&lt;&gt;"&amp;'Physician Types'!$D$81)+SUMIFS(Physician_Visit_June,Physician_Visit_Practice,June!B64,Physician_Visit_Hospitalists,'Physician Types'!$D$81)*INDEX(Physician_Type_Hospitalists_Visit_Minutes,MATCH(June!B64,Physician_Type_Practice,0))/INDEX(Physician_Type_Visit_Minutes,MATCH(June!B64,Physician_Type_Practice,0)) +SUMIF(Physician_Minutes_Practice,June!B64,Physician_Minutes_June)/INDEX(Physician_Type_Visit_Minutes,MATCH(June!B64,Physician_Type_Practice,0))</f>
        <v>0</v>
      </c>
      <c r="D64" s="43">
        <f t="shared" si="5"/>
        <v>0</v>
      </c>
      <c r="E64" s="17">
        <f>INDEX(Physician_Type_Bed_Rate,MATCH(June!B64,Physician_Type_Practice,0))*'Hospital Input Page'!$C$4</f>
        <v>5782.7586029778467</v>
      </c>
      <c r="F64" s="9">
        <f t="shared" si="7"/>
        <v>0</v>
      </c>
      <c r="H64" s="5">
        <f t="array" ref="H64">SUMIFS(Physician_Visit_June, Physician_Visit_Practice, June!B64, Independent_Contractor_Visits,  'Physician Types'!$D$81) + SUMIFS(Physician_Minutes_June,Physician_Minutes_Practice,June!B64, Independent_Contractor_Minutes, 'Physician Types'!$D$81)/INDEX(Physician_Type_Visit_Minutes,MATCH(June!B64,Physician_Type_Practice,0))</f>
        <v>0</v>
      </c>
      <c r="I64" s="43">
        <f t="shared" si="6"/>
        <v>0</v>
      </c>
      <c r="J64" s="10">
        <f>E64*'Physician Types'!$E$4</f>
        <v>173.48275808933539</v>
      </c>
      <c r="K64" s="10">
        <f t="shared" si="8"/>
        <v>0</v>
      </c>
    </row>
    <row r="65" spans="1:11" x14ac:dyDescent="0.2">
      <c r="A65" s="158">
        <v>2</v>
      </c>
      <c r="B65" s="107" t="s">
        <v>42</v>
      </c>
      <c r="C65" s="5">
        <f>SUMIFS(Physician_Visit_June,Physician_Visit_Practice,June!B65,Physician_Visit_Hospitalists, "&lt;&gt;"&amp;'Physician Types'!$D$81)+SUMIFS(Physician_Visit_June,Physician_Visit_Practice,June!B65,Physician_Visit_Hospitalists,'Physician Types'!$D$81)*INDEX(Physician_Type_Hospitalists_Visit_Minutes,MATCH(June!B65,Physician_Type_Practice,0))/INDEX(Physician_Type_Visit_Minutes,MATCH(June!B65,Physician_Type_Practice,0)) +SUMIF(Physician_Minutes_Practice,June!B65,Physician_Minutes_June)/INDEX(Physician_Type_Visit_Minutes,MATCH(June!B65,Physician_Type_Practice,0))</f>
        <v>0</v>
      </c>
      <c r="D65" s="43">
        <f t="shared" si="5"/>
        <v>0</v>
      </c>
      <c r="E65" s="17">
        <f>INDEX(Physician_Type_Bed_Rate,MATCH(June!B65,Physician_Type_Practice,0))*'Hospital Input Page'!$C$4</f>
        <v>1487.1623541914003</v>
      </c>
      <c r="F65" s="9">
        <f t="shared" si="7"/>
        <v>0</v>
      </c>
      <c r="H65" s="5">
        <f t="array" ref="H65">SUMIFS(Physician_Visit_June, Physician_Visit_Practice, June!B65, Independent_Contractor_Visits,  'Physician Types'!$D$81) + SUMIFS(Physician_Minutes_June,Physician_Minutes_Practice,June!B65, Independent_Contractor_Minutes, 'Physician Types'!$D$81)/INDEX(Physician_Type_Visit_Minutes,MATCH(June!B65,Physician_Type_Practice,0))</f>
        <v>0</v>
      </c>
      <c r="I65" s="43">
        <f t="shared" si="6"/>
        <v>0</v>
      </c>
      <c r="J65" s="10">
        <f>E65*'Physician Types'!$E$4</f>
        <v>44.614870625742007</v>
      </c>
      <c r="K65" s="10">
        <f t="shared" si="8"/>
        <v>0</v>
      </c>
    </row>
    <row r="66" spans="1:11" x14ac:dyDescent="0.2">
      <c r="A66" s="158">
        <v>5</v>
      </c>
      <c r="B66" s="102" t="s">
        <v>64</v>
      </c>
      <c r="C66" s="5">
        <f>SUMIFS(Physician_Visit_June,Physician_Visit_Practice,June!B66,Physician_Visit_Hospitalists, "&lt;&gt;"&amp;'Physician Types'!$D$81)+SUMIFS(Physician_Visit_June,Physician_Visit_Practice,June!B66,Physician_Visit_Hospitalists,'Physician Types'!$D$81)*INDEX(Physician_Type_Hospitalists_Visit_Minutes,MATCH(June!B66,Physician_Type_Practice,0))/INDEX(Physician_Type_Visit_Minutes,MATCH(June!B66,Physician_Type_Practice,0)) +SUMIF(Physician_Minutes_Practice,June!B66,Physician_Minutes_June)/INDEX(Physician_Type_Visit_Minutes,MATCH(June!B66,Physician_Type_Practice,0))</f>
        <v>0</v>
      </c>
      <c r="D66" s="43">
        <f t="shared" si="5"/>
        <v>0</v>
      </c>
      <c r="E66" s="17">
        <f>INDEX(Physician_Type_Bed_Rate,MATCH(June!B66,Physician_Type_Practice,0))*'Hospital Input Page'!$C$4</f>
        <v>2406.3926282388406</v>
      </c>
      <c r="F66" s="9">
        <f t="shared" si="7"/>
        <v>0</v>
      </c>
      <c r="H66" s="5">
        <f t="array" ref="H66">SUMIFS(Physician_Visit_June, Physician_Visit_Practice, June!B66, Independent_Contractor_Visits,  'Physician Types'!$D$81) + SUMIFS(Physician_Minutes_June,Physician_Minutes_Practice,June!B66, Independent_Contractor_Minutes, 'Physician Types'!$D$81)/INDEX(Physician_Type_Visit_Minutes,MATCH(June!B66,Physician_Type_Practice,0))</f>
        <v>0</v>
      </c>
      <c r="I66" s="43">
        <f t="shared" si="6"/>
        <v>0</v>
      </c>
      <c r="J66" s="10">
        <f>E66*'Physician Types'!$E$4</f>
        <v>72.19177884716521</v>
      </c>
      <c r="K66" s="10">
        <f t="shared" si="8"/>
        <v>0</v>
      </c>
    </row>
    <row r="67" spans="1:11" x14ac:dyDescent="0.2">
      <c r="A67" s="158">
        <v>5</v>
      </c>
      <c r="B67" s="102" t="s">
        <v>65</v>
      </c>
      <c r="C67" s="5">
        <f>SUMIFS(Physician_Visit_June,Physician_Visit_Practice,June!B67,Physician_Visit_Hospitalists, "&lt;&gt;"&amp;'Physician Types'!$D$81)+SUMIFS(Physician_Visit_June,Physician_Visit_Practice,June!B67,Physician_Visit_Hospitalists,'Physician Types'!$D$81)*INDEX(Physician_Type_Hospitalists_Visit_Minutes,MATCH(June!B67,Physician_Type_Practice,0))/INDEX(Physician_Type_Visit_Minutes,MATCH(June!B67,Physician_Type_Practice,0)) +SUMIF(Physician_Minutes_Practice,June!B67,Physician_Minutes_June)/INDEX(Physician_Type_Visit_Minutes,MATCH(June!B67,Physician_Type_Practice,0))</f>
        <v>0</v>
      </c>
      <c r="D67" s="43">
        <f t="shared" si="5"/>
        <v>0</v>
      </c>
      <c r="E67" s="17">
        <f>INDEX(Physician_Type_Bed_Rate,MATCH(June!B67,Physician_Type_Practice,0))*'Hospital Input Page'!$C$4</f>
        <v>1487.1623541914003</v>
      </c>
      <c r="F67" s="9">
        <f t="shared" si="7"/>
        <v>0</v>
      </c>
      <c r="H67" s="5">
        <f t="array" ref="H67">SUMIFS(Physician_Visit_June, Physician_Visit_Practice, June!B67, Independent_Contractor_Visits,  'Physician Types'!$D$81) + SUMIFS(Physician_Minutes_June,Physician_Minutes_Practice,June!B67, Independent_Contractor_Minutes, 'Physician Types'!$D$81)/INDEX(Physician_Type_Visit_Minutes,MATCH(June!B67,Physician_Type_Practice,0))</f>
        <v>0</v>
      </c>
      <c r="I67" s="43">
        <f t="shared" si="6"/>
        <v>0</v>
      </c>
      <c r="J67" s="10">
        <f>E67*'Physician Types'!$E$4</f>
        <v>44.614870625742007</v>
      </c>
      <c r="K67" s="10">
        <f t="shared" si="8"/>
        <v>0</v>
      </c>
    </row>
    <row r="68" spans="1:11" x14ac:dyDescent="0.2">
      <c r="A68" s="158">
        <v>5</v>
      </c>
      <c r="B68" s="102" t="s">
        <v>66</v>
      </c>
      <c r="C68" s="5">
        <f>SUMIFS(Physician_Visit_June,Physician_Visit_Practice,June!B68,Physician_Visit_Hospitalists, "&lt;&gt;"&amp;'Physician Types'!$D$81)+SUMIFS(Physician_Visit_June,Physician_Visit_Practice,June!B68,Physician_Visit_Hospitalists,'Physician Types'!$D$81)*INDEX(Physician_Type_Hospitalists_Visit_Minutes,MATCH(June!B68,Physician_Type_Practice,0))/INDEX(Physician_Type_Visit_Minutes,MATCH(June!B68,Physician_Type_Practice,0)) +SUMIF(Physician_Minutes_Practice,June!B68,Physician_Minutes_June)/INDEX(Physician_Type_Visit_Minutes,MATCH(June!B68,Physician_Type_Practice,0))</f>
        <v>0</v>
      </c>
      <c r="D68" s="43">
        <f t="shared" si="5"/>
        <v>0</v>
      </c>
      <c r="E68" s="17">
        <f>INDEX(Physician_Type_Bed_Rate,MATCH(June!B68,Physician_Type_Practice,0))*'Hospital Input Page'!$C$4</f>
        <v>4644.9427860571295</v>
      </c>
      <c r="F68" s="9">
        <f t="shared" si="7"/>
        <v>0</v>
      </c>
      <c r="H68" s="5">
        <f t="array" ref="H68">SUMIFS(Physician_Visit_June, Physician_Visit_Practice, June!B68, Independent_Contractor_Visits,  'Physician Types'!$D$81) + SUMIFS(Physician_Minutes_June,Physician_Minutes_Practice,June!B68, Independent_Contractor_Minutes, 'Physician Types'!$D$81)/INDEX(Physician_Type_Visit_Minutes,MATCH(June!B68,Physician_Type_Practice,0))</f>
        <v>0</v>
      </c>
      <c r="I68" s="43">
        <f t="shared" si="6"/>
        <v>0</v>
      </c>
      <c r="J68" s="10">
        <f>E68*'Physician Types'!$E$4</f>
        <v>139.34828358171387</v>
      </c>
      <c r="K68" s="10">
        <f t="shared" si="8"/>
        <v>0</v>
      </c>
    </row>
    <row r="69" spans="1:11" x14ac:dyDescent="0.2">
      <c r="A69" s="158">
        <v>2</v>
      </c>
      <c r="B69" s="107" t="s">
        <v>43</v>
      </c>
      <c r="C69" s="5">
        <f>SUMIFS(Physician_Visit_June,Physician_Visit_Practice,June!B69,Physician_Visit_Hospitalists, "&lt;&gt;"&amp;'Physician Types'!$D$81)+SUMIFS(Physician_Visit_June,Physician_Visit_Practice,June!B69,Physician_Visit_Hospitalists,'Physician Types'!$D$81)*INDEX(Physician_Type_Hospitalists_Visit_Minutes,MATCH(June!B69,Physician_Type_Practice,0))/INDEX(Physician_Type_Visit_Minutes,MATCH(June!B69,Physician_Type_Practice,0)) +SUMIF(Physician_Minutes_Practice,June!B69,Physician_Minutes_June)/INDEX(Physician_Type_Visit_Minutes,MATCH(June!B69,Physician_Type_Practice,0))</f>
        <v>0</v>
      </c>
      <c r="D69" s="43">
        <f t="shared" si="5"/>
        <v>0</v>
      </c>
      <c r="E69" s="17">
        <f>INDEX(Physician_Type_Bed_Rate,MATCH(June!B69,Physician_Type_Practice,0))*'Hospital Input Page'!$C$4</f>
        <v>2539.1052792690443</v>
      </c>
      <c r="F69" s="9">
        <f t="shared" si="7"/>
        <v>0</v>
      </c>
      <c r="H69" s="5">
        <f t="array" ref="H69">SUMIFS(Physician_Visit_June, Physician_Visit_Practice, June!B69, Independent_Contractor_Visits,  'Physician Types'!$D$81) + SUMIFS(Physician_Minutes_June,Physician_Minutes_Practice,June!B69, Independent_Contractor_Minutes, 'Physician Types'!$D$81)/INDEX(Physician_Type_Visit_Minutes,MATCH(June!B69,Physician_Type_Practice,0))</f>
        <v>0</v>
      </c>
      <c r="I69" s="43">
        <f t="shared" si="6"/>
        <v>0</v>
      </c>
      <c r="J69" s="10">
        <f>E69*'Physician Types'!$E$4</f>
        <v>76.173158378071321</v>
      </c>
      <c r="K69" s="10">
        <f t="shared" si="8"/>
        <v>0</v>
      </c>
    </row>
    <row r="70" spans="1:11" x14ac:dyDescent="0.2">
      <c r="A70" s="158">
        <v>2</v>
      </c>
      <c r="B70" s="107" t="s">
        <v>44</v>
      </c>
      <c r="C70" s="5">
        <f>SUMIFS(Physician_Visit_June,Physician_Visit_Practice,June!B70,Physician_Visit_Hospitalists, "&lt;&gt;"&amp;'Physician Types'!$D$81)+SUMIFS(Physician_Visit_June,Physician_Visit_Practice,June!B70,Physician_Visit_Hospitalists,'Physician Types'!$D$81)*INDEX(Physician_Type_Hospitalists_Visit_Minutes,MATCH(June!B70,Physician_Type_Practice,0))/INDEX(Physician_Type_Visit_Minutes,MATCH(June!B70,Physician_Type_Practice,0)) +SUMIF(Physician_Minutes_Practice,June!B70,Physician_Minutes_June)/INDEX(Physician_Type_Visit_Minutes,MATCH(June!B70,Physician_Type_Practice,0))</f>
        <v>0</v>
      </c>
      <c r="D70" s="43">
        <f t="shared" si="5"/>
        <v>0</v>
      </c>
      <c r="E70" s="17">
        <f>INDEX(Physician_Type_Bed_Rate,MATCH(June!B70,Physician_Type_Practice,0))*'Hospital Input Page'!$C$4</f>
        <v>1619.8750052216039</v>
      </c>
      <c r="F70" s="9">
        <f t="shared" si="7"/>
        <v>0</v>
      </c>
      <c r="H70" s="5">
        <f t="array" ref="H70">SUMIFS(Physician_Visit_June, Physician_Visit_Practice, June!B70, Independent_Contractor_Visits,  'Physician Types'!$D$81) + SUMIFS(Physician_Minutes_June,Physician_Minutes_Practice,June!B70, Independent_Contractor_Minutes, 'Physician Types'!$D$81)/INDEX(Physician_Type_Visit_Minutes,MATCH(June!B70,Physician_Type_Practice,0))</f>
        <v>0</v>
      </c>
      <c r="I70" s="43">
        <f t="shared" si="6"/>
        <v>0</v>
      </c>
      <c r="J70" s="10">
        <f>E70*'Physician Types'!$E$4</f>
        <v>48.596250156648118</v>
      </c>
      <c r="K70" s="10">
        <f t="shared" si="8"/>
        <v>0</v>
      </c>
    </row>
    <row r="71" spans="1:11" x14ac:dyDescent="0.2">
      <c r="A71" s="158">
        <v>2</v>
      </c>
      <c r="B71" s="161" t="s">
        <v>154</v>
      </c>
      <c r="C71" s="5">
        <f>SUMIFS(Physician_Visit_June,Physician_Visit_Practice,June!B71,Physician_Visit_Hospitalists, "&lt;&gt;"&amp;'Physician Types'!$D$81)+SUMIFS(Physician_Visit_June,Physician_Visit_Practice,June!B71,Physician_Visit_Hospitalists,'Physician Types'!$D$81)*INDEX(Physician_Type_Hospitalists_Visit_Minutes,MATCH(June!B71,Physician_Type_Practice,0))/INDEX(Physician_Type_Visit_Minutes,MATCH(June!B71,Physician_Type_Practice,0)) +SUMIF(Physician_Minutes_Practice,June!B71,Physician_Minutes_June)/INDEX(Physician_Type_Visit_Minutes,MATCH(June!B71,Physician_Type_Practice,0))</f>
        <v>0</v>
      </c>
      <c r="D71" s="43">
        <f t="shared" si="5"/>
        <v>0</v>
      </c>
      <c r="E71" s="17">
        <f>INDEX(Physician_Type_Bed_Rate,MATCH(June!B71,Physician_Type_Practice,0))*'Hospital Input Page'!$C$4</f>
        <v>1951.6566327971132</v>
      </c>
      <c r="F71" s="9">
        <f t="shared" si="7"/>
        <v>0</v>
      </c>
      <c r="H71" s="5">
        <f t="array" ref="H71">SUMIFS(Physician_Visit_June, Physician_Visit_Practice, June!B71, Independent_Contractor_Visits,  'Physician Types'!$D$81) + SUMIFS(Physician_Minutes_June,Physician_Minutes_Practice,June!B71, Independent_Contractor_Minutes, 'Physician Types'!$D$81)/INDEX(Physician_Type_Visit_Minutes,MATCH(June!B71,Physician_Type_Practice,0))</f>
        <v>0</v>
      </c>
      <c r="I71" s="43">
        <f t="shared" si="6"/>
        <v>0</v>
      </c>
      <c r="J71" s="10">
        <f>E71*'Physician Types'!$E$4</f>
        <v>58.549698983913395</v>
      </c>
      <c r="K71" s="10">
        <f t="shared" si="8"/>
        <v>0</v>
      </c>
    </row>
    <row r="72" spans="1:11" x14ac:dyDescent="0.2">
      <c r="A72" s="158">
        <v>4</v>
      </c>
      <c r="B72" s="102" t="s">
        <v>62</v>
      </c>
      <c r="C72" s="5">
        <f>SUMIFS(Physician_Visit_June,Physician_Visit_Practice,June!B72,Physician_Visit_Hospitalists, "&lt;&gt;"&amp;'Physician Types'!$D$81)+SUMIFS(Physician_Visit_June,Physician_Visit_Practice,June!B72,Physician_Visit_Hospitalists,'Physician Types'!$D$81)*INDEX(Physician_Type_Hospitalists_Visit_Minutes,MATCH(June!B72,Physician_Type_Practice,0))/INDEX(Physician_Type_Visit_Minutes,MATCH(June!B72,Physician_Type_Practice,0)) +SUMIF(Physician_Minutes_Practice,June!B72,Physician_Minutes_June)/INDEX(Physician_Type_Visit_Minutes,MATCH(June!B72,Physician_Type_Practice,0))</f>
        <v>0</v>
      </c>
      <c r="D72" s="43">
        <f t="shared" si="5"/>
        <v>0</v>
      </c>
      <c r="E72" s="17">
        <f>INDEX(Physician_Type_Bed_Rate,MATCH(June!B72,Physician_Type_Practice,0))*'Hospital Input Page'!$C$4</f>
        <v>2529.3469961050587</v>
      </c>
      <c r="F72" s="9">
        <f t="shared" si="7"/>
        <v>0</v>
      </c>
      <c r="H72" s="5">
        <f t="array" ref="H72">SUMIFS(Physician_Visit_June, Physician_Visit_Practice, June!B72, Independent_Contractor_Visits,  'Physician Types'!$D$81) + SUMIFS(Physician_Minutes_June,Physician_Minutes_Practice,June!B72, Independent_Contractor_Minutes, 'Physician Types'!$D$81)/INDEX(Physician_Type_Visit_Minutes,MATCH(June!B72,Physician_Type_Practice,0))</f>
        <v>0</v>
      </c>
      <c r="I72" s="43">
        <f t="shared" si="6"/>
        <v>0</v>
      </c>
      <c r="J72" s="10">
        <f>E72*'Physician Types'!$E$4</f>
        <v>75.880409883151756</v>
      </c>
      <c r="K72" s="10">
        <f t="shared" si="8"/>
        <v>0</v>
      </c>
    </row>
    <row r="73" spans="1:11" x14ac:dyDescent="0.2">
      <c r="A73" s="158">
        <v>2</v>
      </c>
      <c r="B73" s="107" t="s">
        <v>45</v>
      </c>
      <c r="C73" s="5">
        <f>SUMIFS(Physician_Visit_June,Physician_Visit_Practice,June!B73,Physician_Visit_Hospitalists, "&lt;&gt;"&amp;'Physician Types'!$D$81)+SUMIFS(Physician_Visit_June,Physician_Visit_Practice,June!B73,Physician_Visit_Hospitalists,'Physician Types'!$D$81)*INDEX(Physician_Type_Hospitalists_Visit_Minutes,MATCH(June!B73,Physician_Type_Practice,0))/INDEX(Physician_Type_Visit_Minutes,MATCH(June!B73,Physician_Type_Practice,0)) +SUMIF(Physician_Minutes_Practice,June!B73,Physician_Minutes_June)/INDEX(Physician_Type_Visit_Minutes,MATCH(June!B73,Physician_Type_Practice,0))</f>
        <v>0</v>
      </c>
      <c r="D73" s="43">
        <f t="shared" si="5"/>
        <v>0</v>
      </c>
      <c r="E73" s="17">
        <f>INDEX(Physician_Type_Bed_Rate,MATCH(June!B73,Physician_Type_Practice,0))*'Hospital Input Page'!$C$4</f>
        <v>4844.0117626024357</v>
      </c>
      <c r="F73" s="9">
        <f t="shared" si="7"/>
        <v>0</v>
      </c>
      <c r="H73" s="5">
        <f t="array" ref="H73">SUMIFS(Physician_Visit_June, Physician_Visit_Practice, June!B73, Independent_Contractor_Visits,  'Physician Types'!$D$81) + SUMIFS(Physician_Minutes_June,Physician_Minutes_Practice,June!B73, Independent_Contractor_Minutes, 'Physician Types'!$D$81)/INDEX(Physician_Type_Visit_Minutes,MATCH(June!B73,Physician_Type_Practice,0))</f>
        <v>0</v>
      </c>
      <c r="I73" s="43">
        <f t="shared" si="6"/>
        <v>0</v>
      </c>
      <c r="J73" s="10">
        <f>E73*'Physician Types'!$E$4</f>
        <v>145.32035287807307</v>
      </c>
      <c r="K73" s="10">
        <f t="shared" si="8"/>
        <v>0</v>
      </c>
    </row>
    <row r="74" spans="1:11" x14ac:dyDescent="0.2">
      <c r="A74" s="158">
        <v>4</v>
      </c>
      <c r="B74" s="107" t="s">
        <v>63</v>
      </c>
      <c r="C74" s="5">
        <f>SUMIFS(Physician_Visit_June,Physician_Visit_Practice,June!B74,Physician_Visit_Hospitalists, "&lt;&gt;"&amp;'Physician Types'!$D$81)+SUMIFS(Physician_Visit_June,Physician_Visit_Practice,June!B74,Physician_Visit_Hospitalists,'Physician Types'!$D$81)*INDEX(Physician_Type_Hospitalists_Visit_Minutes,MATCH(June!B74,Physician_Type_Practice,0))/INDEX(Physician_Type_Visit_Minutes,MATCH(June!B74,Physician_Type_Practice,0)) +SUMIF(Physician_Minutes_Practice,June!B74,Physician_Minutes_June)/INDEX(Physician_Type_Visit_Minutes,MATCH(June!B74,Physician_Type_Practice,0))</f>
        <v>0</v>
      </c>
      <c r="D74" s="43">
        <f t="shared" si="5"/>
        <v>0</v>
      </c>
      <c r="E74" s="17">
        <f>INDEX(Physician_Type_Bed_Rate,MATCH(June!B74,Physician_Type_Practice,0))*'Hospital Input Page'!$C$4</f>
        <v>2539.1052792690443</v>
      </c>
      <c r="F74" s="9">
        <f t="shared" si="7"/>
        <v>0</v>
      </c>
      <c r="H74" s="5">
        <f t="array" ref="H74">SUMIFS(Physician_Visit_June, Physician_Visit_Practice, June!B74, Independent_Contractor_Visits,  'Physician Types'!$D$81) + SUMIFS(Physician_Minutes_June,Physician_Minutes_Practice,June!B74, Independent_Contractor_Minutes, 'Physician Types'!$D$81)/INDEX(Physician_Type_Visit_Minutes,MATCH(June!B74,Physician_Type_Practice,0))</f>
        <v>0</v>
      </c>
      <c r="I74" s="43">
        <f t="shared" si="6"/>
        <v>0</v>
      </c>
      <c r="J74" s="10">
        <f>E74*'Physician Types'!$E$4</f>
        <v>76.173158378071321</v>
      </c>
      <c r="K74" s="10">
        <f t="shared" si="8"/>
        <v>0</v>
      </c>
    </row>
    <row r="75" spans="1:11" x14ac:dyDescent="0.2">
      <c r="A75" s="158">
        <v>2</v>
      </c>
      <c r="B75" s="107" t="s">
        <v>46</v>
      </c>
      <c r="C75" s="5">
        <f>SUMIFS(Physician_Visit_June,Physician_Visit_Practice,June!B75,Physician_Visit_Hospitalists, "&lt;&gt;"&amp;'Physician Types'!$D$81)+SUMIFS(Physician_Visit_June,Physician_Visit_Practice,June!B75,Physician_Visit_Hospitalists,'Physician Types'!$D$81)*INDEX(Physician_Type_Hospitalists_Visit_Minutes,MATCH(June!B75,Physician_Type_Practice,0))/INDEX(Physician_Type_Visit_Minutes,MATCH(June!B75,Physician_Type_Practice,0)) +SUMIF(Physician_Minutes_Practice,June!B75,Physician_Minutes_June)/INDEX(Physician_Type_Visit_Minutes,MATCH(June!B75,Physician_Type_Practice,0))</f>
        <v>0</v>
      </c>
      <c r="D75" s="43">
        <f t="shared" si="5"/>
        <v>0</v>
      </c>
      <c r="E75" s="17">
        <f>INDEX(Physician_Type_Bed_Rate,MATCH(June!B75,Physician_Type_Practice,0))*'Hospital Input Page'!$C$4</f>
        <v>1619.8750052216039</v>
      </c>
      <c r="F75" s="9">
        <f t="shared" si="7"/>
        <v>0</v>
      </c>
      <c r="H75" s="5">
        <f t="array" ref="H75">SUMIFS(Physician_Visit_June, Physician_Visit_Practice, June!B75, Independent_Contractor_Visits,  'Physician Types'!$D$81) + SUMIFS(Physician_Minutes_June,Physician_Minutes_Practice,June!B75, Independent_Contractor_Minutes, 'Physician Types'!$D$81)/INDEX(Physician_Type_Visit_Minutes,MATCH(June!B75,Physician_Type_Practice,0))</f>
        <v>0</v>
      </c>
      <c r="I75" s="43">
        <f t="shared" si="6"/>
        <v>0</v>
      </c>
      <c r="J75" s="10">
        <f>E75*'Physician Types'!$E$4</f>
        <v>48.596250156648118</v>
      </c>
      <c r="K75" s="10">
        <f t="shared" si="8"/>
        <v>0</v>
      </c>
    </row>
    <row r="76" spans="1:11" x14ac:dyDescent="0.2">
      <c r="A76" s="158">
        <v>3</v>
      </c>
      <c r="B76" s="102" t="s">
        <v>54</v>
      </c>
      <c r="C76" s="5">
        <f>SUMIFS(Physician_Visit_June,Physician_Visit_Practice,June!B76,Physician_Visit_Hospitalists, "&lt;&gt;"&amp;'Physician Types'!$D$81)+SUMIFS(Physician_Visit_June,Physician_Visit_Practice,June!B76,Physician_Visit_Hospitalists,'Physician Types'!$D$81)*INDEX(Physician_Type_Hospitalists_Visit_Minutes,MATCH(June!B76,Physician_Type_Practice,0))/INDEX(Physician_Type_Visit_Minutes,MATCH(June!B76,Physician_Type_Practice,0)) +SUMIF(Physician_Minutes_Practice,June!B76,Physician_Minutes_June)/INDEX(Physician_Type_Visit_Minutes,MATCH(June!B76,Physician_Type_Practice,0))</f>
        <v>0</v>
      </c>
      <c r="D76" s="43">
        <f t="shared" si="5"/>
        <v>0</v>
      </c>
      <c r="E76" s="17">
        <f>INDEX(Physician_Type_Bed_Rate,MATCH(June!B76,Physician_Type_Practice,0))*'Hospital Input Page'!$C$4</f>
        <v>2699.1411231584075</v>
      </c>
      <c r="F76" s="9">
        <f t="shared" si="7"/>
        <v>0</v>
      </c>
      <c r="H76" s="5">
        <f t="array" ref="H76">SUMIFS(Physician_Visit_June, Physician_Visit_Practice, June!B76, Independent_Contractor_Visits,  'Physician Types'!$D$81) + SUMIFS(Physician_Minutes_June,Physician_Minutes_Practice,June!B76, Independent_Contractor_Minutes, 'Physician Types'!$D$81)/INDEX(Physician_Type_Visit_Minutes,MATCH(June!B76,Physician_Type_Practice,0))</f>
        <v>0</v>
      </c>
      <c r="I76" s="43">
        <f t="shared" si="6"/>
        <v>0</v>
      </c>
      <c r="J76" s="10">
        <f>E76*'Physician Types'!$E$4</f>
        <v>80.974233694752215</v>
      </c>
      <c r="K76" s="10">
        <f t="shared" si="8"/>
        <v>0</v>
      </c>
    </row>
    <row r="77" spans="1:11" x14ac:dyDescent="0.2">
      <c r="A77" s="158">
        <v>3</v>
      </c>
      <c r="B77" s="102" t="s">
        <v>55</v>
      </c>
      <c r="C77" s="5">
        <f>SUMIFS(Physician_Visit_June,Physician_Visit_Practice,June!B77,Physician_Visit_Hospitalists, "&lt;&gt;"&amp;'Physician Types'!$D$81)+SUMIFS(Physician_Visit_June,Physician_Visit_Practice,June!B77,Physician_Visit_Hospitalists,'Physician Types'!$D$81)*INDEX(Physician_Type_Hospitalists_Visit_Minutes,MATCH(June!B77,Physician_Type_Practice,0))/INDEX(Physician_Type_Visit_Minutes,MATCH(June!B77,Physician_Type_Practice,0)) +SUMIF(Physician_Minutes_Practice,June!B77,Physician_Minutes_June)/INDEX(Physician_Type_Visit_Minutes,MATCH(June!B77,Physician_Type_Practice,0))</f>
        <v>0</v>
      </c>
      <c r="D77" s="43">
        <f t="shared" si="5"/>
        <v>0</v>
      </c>
      <c r="E77" s="17">
        <f>INDEX(Physician_Type_Bed_Rate,MATCH(June!B77,Physician_Type_Practice,0))*'Hospital Input Page'!$C$4</f>
        <v>2222.9369047559121</v>
      </c>
      <c r="F77" s="9">
        <f t="shared" si="7"/>
        <v>0</v>
      </c>
      <c r="H77" s="5">
        <f t="array" ref="H77">SUMIFS(Physician_Visit_June, Physician_Visit_Practice, June!B77, Independent_Contractor_Visits,  'Physician Types'!$D$81) + SUMIFS(Physician_Minutes_June,Physician_Minutes_Practice,June!B77, Independent_Contractor_Minutes, 'Physician Types'!$D$81)/INDEX(Physician_Type_Visit_Minutes,MATCH(June!B77,Physician_Type_Practice,0))</f>
        <v>0</v>
      </c>
      <c r="I77" s="43">
        <f t="shared" si="6"/>
        <v>0</v>
      </c>
      <c r="J77" s="10">
        <f>E77*'Physician Types'!$E$4</f>
        <v>66.688107142677367</v>
      </c>
      <c r="K77" s="10">
        <f t="shared" si="8"/>
        <v>0</v>
      </c>
    </row>
    <row r="78" spans="1:11" x14ac:dyDescent="0.2">
      <c r="A78" s="158">
        <v>8</v>
      </c>
      <c r="B78" s="102" t="s">
        <v>77</v>
      </c>
      <c r="C78" s="5">
        <f>SUMIFS(Physician_Visit_June,Physician_Visit_Practice,June!B78,Physician_Visit_Hospitalists, "&lt;&gt;"&amp;'Physician Types'!$D$81)+SUMIFS(Physician_Visit_June,Physician_Visit_Practice,June!B78,Physician_Visit_Hospitalists,'Physician Types'!$D$81)*INDEX(Physician_Type_Hospitalists_Visit_Minutes,MATCH(June!B78,Physician_Type_Practice,0))/INDEX(Physician_Type_Visit_Minutes,MATCH(June!B78,Physician_Type_Practice,0)) +SUMIF(Physician_Minutes_Practice,June!B78,Physician_Minutes_June)/INDEX(Physician_Type_Visit_Minutes,MATCH(June!B78,Physician_Type_Practice,0))</f>
        <v>0</v>
      </c>
      <c r="D78" s="43">
        <f t="shared" ref="D78:D110" si="9">C78*INDEX(Physician_Type_Visit_Minutes,MATCH(B78,Physician_Type_Practice,0))/INDEX(Physician_Type_FTE_Minutes,MATCH(B78,Physician_Type_Practice,0))</f>
        <v>0</v>
      </c>
      <c r="E78" s="17">
        <f>INDEX(Physician_Type_Bed_Rate,MATCH(June!B78,Physician_Type_Practice,0))*'Hospital Input Page'!$C$4</f>
        <v>11024.908318670894</v>
      </c>
      <c r="F78" s="9">
        <f t="shared" si="7"/>
        <v>0</v>
      </c>
      <c r="H78" s="5">
        <f t="array" ref="H78">SUMIFS(Physician_Visit_June, Physician_Visit_Practice, June!B78, Independent_Contractor_Visits,  'Physician Types'!$D$81) + SUMIFS(Physician_Minutes_June,Physician_Minutes_Practice,June!B78, Independent_Contractor_Minutes, 'Physician Types'!$D$81)/INDEX(Physician_Type_Visit_Minutes,MATCH(June!B78,Physician_Type_Practice,0))</f>
        <v>0</v>
      </c>
      <c r="I78" s="43">
        <f t="shared" ref="I78:I110" si="10">H78*INDEX(Physician_Type_Visit_Minutes,MATCH(B78,Physician_Type_Practice,0))/INDEX(Physician_Type_FTE_Minutes,MATCH(B78,Physician_Type_Practice,0))</f>
        <v>0</v>
      </c>
      <c r="J78" s="10">
        <f>E78*'Physician Types'!$E$4</f>
        <v>330.74724956012682</v>
      </c>
      <c r="K78" s="10">
        <f t="shared" si="8"/>
        <v>0</v>
      </c>
    </row>
    <row r="79" spans="1:11" x14ac:dyDescent="0.2">
      <c r="A79" s="158"/>
      <c r="B79" s="102" t="s">
        <v>79</v>
      </c>
      <c r="C79" s="5">
        <f>SUMIFS(Physician_Visit_June,Physician_Visit_Practice,June!B79,Physician_Visit_Hospitalists, "&lt;&gt;"&amp;'Physician Types'!$D$81)+SUMIFS(Physician_Visit_June,Physician_Visit_Practice,June!B79,Physician_Visit_Hospitalists,'Physician Types'!$D$81)*INDEX(Physician_Type_Hospitalists_Visit_Minutes,MATCH(June!B79,Physician_Type_Practice,0))/INDEX(Physician_Type_Visit_Minutes,MATCH(June!B79,Physician_Type_Practice,0)) +SUMIF(Physician_Minutes_Practice,June!B79,Physician_Minutes_June)/INDEX(Physician_Type_Visit_Minutes,MATCH(June!B79,Physician_Type_Practice,0))</f>
        <v>0</v>
      </c>
      <c r="D79" s="43">
        <f t="shared" si="9"/>
        <v>0</v>
      </c>
      <c r="E79" s="17">
        <f>INDEX(Physician_Type_Bed_Rate,MATCH(June!B79,Physician_Type_Practice,0))*'Hospital Input Page'!$C$4</f>
        <v>858.72891843072989</v>
      </c>
      <c r="F79" s="9">
        <f t="shared" si="7"/>
        <v>0</v>
      </c>
      <c r="H79" s="5">
        <f t="array" ref="H79">SUMIFS(Physician_Visit_June, Physician_Visit_Practice, June!B79, Independent_Contractor_Visits,  'Physician Types'!$D$81) + SUMIFS(Physician_Minutes_June,Physician_Minutes_Practice,June!B79, Independent_Contractor_Minutes, 'Physician Types'!$D$81)/INDEX(Physician_Type_Visit_Minutes,MATCH(June!B79,Physician_Type_Practice,0))</f>
        <v>0</v>
      </c>
      <c r="I79" s="43">
        <f t="shared" si="10"/>
        <v>0</v>
      </c>
      <c r="J79" s="10">
        <f>E79*'Physician Types'!$E$4</f>
        <v>25.761867552921895</v>
      </c>
      <c r="K79" s="10">
        <f t="shared" si="8"/>
        <v>0</v>
      </c>
    </row>
    <row r="80" spans="1:11" x14ac:dyDescent="0.2">
      <c r="A80" s="158">
        <v>5</v>
      </c>
      <c r="B80" s="102" t="s">
        <v>67</v>
      </c>
      <c r="C80" s="5">
        <f>SUMIFS(Physician_Visit_June,Physician_Visit_Practice,June!B80,Physician_Visit_Hospitalists, "&lt;&gt;"&amp;'Physician Types'!$D$81)+SUMIFS(Physician_Visit_June,Physician_Visit_Practice,June!B80,Physician_Visit_Hospitalists,'Physician Types'!$D$81)*INDEX(Physician_Type_Hospitalists_Visit_Minutes,MATCH(June!B80,Physician_Type_Practice,0))/INDEX(Physician_Type_Visit_Minutes,MATCH(June!B80,Physician_Type_Practice,0)) +SUMIF(Physician_Minutes_Practice,June!B80,Physician_Minutes_June)/INDEX(Physician_Type_Visit_Minutes,MATCH(June!B80,Physician_Type_Practice,0))</f>
        <v>0</v>
      </c>
      <c r="D80" s="43">
        <f t="shared" si="9"/>
        <v>0</v>
      </c>
      <c r="E80" s="17">
        <f>INDEX(Physician_Type_Bed_Rate,MATCH(June!B80,Physician_Type_Practice,0))*'Hospital Input Page'!$C$4</f>
        <v>1955.5599460627077</v>
      </c>
      <c r="F80" s="9">
        <f t="shared" si="7"/>
        <v>0</v>
      </c>
      <c r="H80" s="5">
        <f t="array" ref="H80">SUMIFS(Physician_Visit_June, Physician_Visit_Practice, June!B80, Independent_Contractor_Visits,  'Physician Types'!$D$81) + SUMIFS(Physician_Minutes_June,Physician_Minutes_Practice,June!B80, Independent_Contractor_Minutes, 'Physician Types'!$D$81)/INDEX(Physician_Type_Visit_Minutes,MATCH(June!B80,Physician_Type_Practice,0))</f>
        <v>0</v>
      </c>
      <c r="I80" s="43">
        <f t="shared" si="10"/>
        <v>0</v>
      </c>
      <c r="J80" s="10">
        <f>E80*'Physician Types'!$E$4</f>
        <v>58.666798381881229</v>
      </c>
      <c r="K80" s="10">
        <f t="shared" si="8"/>
        <v>0</v>
      </c>
    </row>
    <row r="81" spans="1:11" x14ac:dyDescent="0.2">
      <c r="A81" s="158"/>
      <c r="B81" s="102" t="s">
        <v>80</v>
      </c>
      <c r="C81" s="5">
        <f>SUMIFS(Physician_Visit_June,Physician_Visit_Practice,June!B81,Physician_Visit_Hospitalists, "&lt;&gt;"&amp;'Physician Types'!$D$81)+SUMIFS(Physician_Visit_June,Physician_Visit_Practice,June!B81,Physician_Visit_Hospitalists,'Physician Types'!$D$81)*INDEX(Physician_Type_Hospitalists_Visit_Minutes,MATCH(June!B81,Physician_Type_Practice,0))/INDEX(Physician_Type_Visit_Minutes,MATCH(June!B81,Physician_Type_Practice,0)) +SUMIF(Physician_Minutes_Practice,June!B81,Physician_Minutes_June)/INDEX(Physician_Type_Visit_Minutes,MATCH(June!B81,Physician_Type_Practice,0))</f>
        <v>0</v>
      </c>
      <c r="D81" s="43">
        <f t="shared" si="9"/>
        <v>0</v>
      </c>
      <c r="E81" s="17">
        <f>INDEX(Physician_Type_Bed_Rate,MATCH(June!B81,Physician_Type_Practice,0))*'Hospital Input Page'!$C$4</f>
        <v>493.76912809766964</v>
      </c>
      <c r="F81" s="9">
        <f t="shared" si="7"/>
        <v>0</v>
      </c>
      <c r="H81" s="5">
        <f t="array" ref="H81">SUMIFS(Physician_Visit_June, Physician_Visit_Practice, June!B81, Independent_Contractor_Visits,  'Physician Types'!$D$81) + SUMIFS(Physician_Minutes_June,Physician_Minutes_Practice,June!B81, Independent_Contractor_Minutes, 'Physician Types'!$D$81)/INDEX(Physician_Type_Visit_Minutes,MATCH(June!B81,Physician_Type_Practice,0))</f>
        <v>0</v>
      </c>
      <c r="I81" s="43">
        <f t="shared" si="10"/>
        <v>0</v>
      </c>
      <c r="J81" s="10">
        <f>E81*'Physician Types'!$E$4</f>
        <v>14.813073842930088</v>
      </c>
      <c r="K81" s="10">
        <f t="shared" si="8"/>
        <v>0</v>
      </c>
    </row>
    <row r="82" spans="1:11" x14ac:dyDescent="0.2">
      <c r="A82" s="158">
        <v>8</v>
      </c>
      <c r="B82" s="128" t="s">
        <v>139</v>
      </c>
      <c r="C82" s="5">
        <f>SUMIFS(Physician_Visit_June,Physician_Visit_Practice,June!B82,Physician_Visit_Hospitalists, "&lt;&gt;"&amp;'Physician Types'!$D$81)+SUMIFS(Physician_Visit_June,Physician_Visit_Practice,June!B82,Physician_Visit_Hospitalists,'Physician Types'!$D$81)*INDEX(Physician_Type_Hospitalists_Visit_Minutes,MATCH(June!B82,Physician_Type_Practice,0))/INDEX(Physician_Type_Visit_Minutes,MATCH(June!B82,Physician_Type_Practice,0)) +SUMIF(Physician_Minutes_Practice,June!B82,Physician_Minutes_June)/INDEX(Physician_Type_Visit_Minutes,MATCH(June!B82,Physician_Type_Practice,0))</f>
        <v>0</v>
      </c>
      <c r="D82" s="43">
        <f t="shared" si="9"/>
        <v>0</v>
      </c>
      <c r="E82" s="17">
        <f>INDEX(Physician_Type_Bed_Rate,MATCH(June!B82,Physician_Type_Practice,0))*'Hospital Input Page'!$C$4</f>
        <v>8509.2229189954141</v>
      </c>
      <c r="F82" s="9">
        <f t="shared" si="7"/>
        <v>0</v>
      </c>
      <c r="H82" s="5">
        <f t="array" ref="H82">SUMIFS(Physician_Visit_June, Physician_Visit_Practice, June!B82, Independent_Contractor_Visits,  'Physician Types'!$D$81) + SUMIFS(Physician_Minutes_June,Physician_Minutes_Practice,June!B82, Independent_Contractor_Minutes, 'Physician Types'!$D$81)/INDEX(Physician_Type_Visit_Minutes,MATCH(June!B82,Physician_Type_Practice,0))</f>
        <v>0</v>
      </c>
      <c r="I82" s="43">
        <f t="shared" si="10"/>
        <v>0</v>
      </c>
      <c r="J82" s="10">
        <f>E82*'Physician Types'!$E$4</f>
        <v>255.27668756986242</v>
      </c>
      <c r="K82" s="10">
        <f t="shared" si="8"/>
        <v>0</v>
      </c>
    </row>
    <row r="83" spans="1:11" x14ac:dyDescent="0.2">
      <c r="A83" s="158">
        <v>8</v>
      </c>
      <c r="B83" s="102" t="s">
        <v>78</v>
      </c>
      <c r="C83" s="5">
        <f>SUMIFS(Physician_Visit_June,Physician_Visit_Practice,June!B83,Physician_Visit_Hospitalists, "&lt;&gt;"&amp;'Physician Types'!$D$81)+SUMIFS(Physician_Visit_June,Physician_Visit_Practice,June!B83,Physician_Visit_Hospitalists,'Physician Types'!$D$81)*INDEX(Physician_Type_Hospitalists_Visit_Minutes,MATCH(June!B83,Physician_Type_Practice,0))/INDEX(Physician_Type_Visit_Minutes,MATCH(June!B83,Physician_Type_Practice,0)) +SUMIF(Physician_Minutes_Practice,June!B83,Physician_Minutes_June)/INDEX(Physician_Type_Visit_Minutes,MATCH(June!B83,Physician_Type_Practice,0))</f>
        <v>0</v>
      </c>
      <c r="D83" s="43">
        <f t="shared" si="9"/>
        <v>0</v>
      </c>
      <c r="E83" s="17">
        <f>INDEX(Physician_Type_Bed_Rate,MATCH(June!B83,Physician_Type_Practice,0))*'Hospital Input Page'!$C$4</f>
        <v>8509.2229189954141</v>
      </c>
      <c r="F83" s="9">
        <f t="shared" si="7"/>
        <v>0</v>
      </c>
      <c r="H83" s="5">
        <f t="array" ref="H83">SUMIFS(Physician_Visit_June, Physician_Visit_Practice, June!B83, Independent_Contractor_Visits,  'Physician Types'!$D$81) + SUMIFS(Physician_Minutes_June,Physician_Minutes_Practice,June!B83, Independent_Contractor_Minutes, 'Physician Types'!$D$81)/INDEX(Physician_Type_Visit_Minutes,MATCH(June!B83,Physician_Type_Practice,0))</f>
        <v>0</v>
      </c>
      <c r="I83" s="43">
        <f t="shared" si="10"/>
        <v>0</v>
      </c>
      <c r="J83" s="10">
        <f>E83*'Physician Types'!$E$4</f>
        <v>255.27668756986242</v>
      </c>
      <c r="K83" s="10">
        <f t="shared" si="8"/>
        <v>0</v>
      </c>
    </row>
    <row r="84" spans="1:11" x14ac:dyDescent="0.2">
      <c r="A84" s="158">
        <v>2</v>
      </c>
      <c r="B84" s="107" t="s">
        <v>47</v>
      </c>
      <c r="C84" s="5">
        <f>SUMIFS(Physician_Visit_June,Physician_Visit_Practice,June!B84,Physician_Visit_Hospitalists, "&lt;&gt;"&amp;'Physician Types'!$D$81)+SUMIFS(Physician_Visit_June,Physician_Visit_Practice,June!B84,Physician_Visit_Hospitalists,'Physician Types'!$D$81)*INDEX(Physician_Type_Hospitalists_Visit_Minutes,MATCH(June!B84,Physician_Type_Practice,0))/INDEX(Physician_Type_Visit_Minutes,MATCH(June!B84,Physician_Type_Practice,0)) +SUMIF(Physician_Minutes_Practice,June!B84,Physician_Minutes_June)/INDEX(Physician_Type_Visit_Minutes,MATCH(June!B84,Physician_Type_Practice,0))</f>
        <v>0</v>
      </c>
      <c r="D84" s="43">
        <f t="shared" si="9"/>
        <v>0</v>
      </c>
      <c r="E84" s="17">
        <f>INDEX(Physician_Type_Bed_Rate,MATCH(June!B84,Physician_Type_Practice,0))*'Hospital Input Page'!$C$4</f>
        <v>1727.2161200254454</v>
      </c>
      <c r="F84" s="9">
        <f t="shared" si="7"/>
        <v>0</v>
      </c>
      <c r="H84" s="5">
        <f t="array" ref="H84">SUMIFS(Physician_Visit_June, Physician_Visit_Practice, June!B84, Independent_Contractor_Visits,  'Physician Types'!$D$81) + SUMIFS(Physician_Minutes_June,Physician_Minutes_Practice,June!B84, Independent_Contractor_Minutes, 'Physician Types'!$D$81)/INDEX(Physician_Type_Visit_Minutes,MATCH(June!B84,Physician_Type_Practice,0))</f>
        <v>0</v>
      </c>
      <c r="I84" s="43">
        <f t="shared" si="10"/>
        <v>0</v>
      </c>
      <c r="J84" s="10">
        <f>E84*'Physician Types'!$E$4</f>
        <v>51.816483600763362</v>
      </c>
      <c r="K84" s="10">
        <f t="shared" si="8"/>
        <v>0</v>
      </c>
    </row>
    <row r="85" spans="1:11" x14ac:dyDescent="0.2">
      <c r="A85" s="158">
        <v>3</v>
      </c>
      <c r="B85" s="102" t="s">
        <v>56</v>
      </c>
      <c r="C85" s="5">
        <f>SUMIFS(Physician_Visit_June,Physician_Visit_Practice,June!B85,Physician_Visit_Hospitalists, "&lt;&gt;"&amp;'Physician Types'!$D$81)+SUMIFS(Physician_Visit_June,Physician_Visit_Practice,June!B85,Physician_Visit_Hospitalists,'Physician Types'!$D$81)*INDEX(Physician_Type_Hospitalists_Visit_Minutes,MATCH(June!B85,Physician_Type_Practice,0))/INDEX(Physician_Type_Visit_Minutes,MATCH(June!B85,Physician_Type_Practice,0)) +SUMIF(Physician_Minutes_Practice,June!B85,Physician_Minutes_June)/INDEX(Physician_Type_Visit_Minutes,MATCH(June!B85,Physician_Type_Practice,0))</f>
        <v>0</v>
      </c>
      <c r="D85" s="43">
        <f t="shared" si="9"/>
        <v>0</v>
      </c>
      <c r="E85" s="17">
        <f>INDEX(Physician_Type_Bed_Rate,MATCH(June!B85,Physician_Type_Practice,0))*'Hospital Input Page'!$C$4</f>
        <v>1842.3638613604746</v>
      </c>
      <c r="F85" s="9">
        <f t="shared" si="7"/>
        <v>0</v>
      </c>
      <c r="H85" s="5">
        <f t="array" ref="H85">SUMIFS(Physician_Visit_June, Physician_Visit_Practice, June!B85, Independent_Contractor_Visits,  'Physician Types'!$D$81) + SUMIFS(Physician_Minutes_June,Physician_Minutes_Practice,June!B85, Independent_Contractor_Minutes, 'Physician Types'!$D$81)/INDEX(Physician_Type_Visit_Minutes,MATCH(June!B85,Physician_Type_Practice,0))</f>
        <v>0</v>
      </c>
      <c r="I85" s="43">
        <f t="shared" si="10"/>
        <v>0</v>
      </c>
      <c r="J85" s="10">
        <f>E85*'Physician Types'!$E$4</f>
        <v>55.27091584081424</v>
      </c>
      <c r="K85" s="10">
        <f t="shared" si="8"/>
        <v>0</v>
      </c>
    </row>
    <row r="86" spans="1:11" x14ac:dyDescent="0.2">
      <c r="A86" s="158">
        <v>3</v>
      </c>
      <c r="B86" s="102" t="s">
        <v>57</v>
      </c>
      <c r="C86" s="5">
        <f>SUMIFS(Physician_Visit_June,Physician_Visit_Practice,June!B86,Physician_Visit_Hospitalists, "&lt;&gt;"&amp;'Physician Types'!$D$81)+SUMIFS(Physician_Visit_June,Physician_Visit_Practice,June!B86,Physician_Visit_Hospitalists,'Physician Types'!$D$81)*INDEX(Physician_Type_Hospitalists_Visit_Minutes,MATCH(June!B86,Physician_Type_Practice,0))/INDEX(Physician_Type_Visit_Minutes,MATCH(June!B86,Physician_Type_Practice,0)) +SUMIF(Physician_Minutes_Practice,June!B86,Physician_Minutes_June)/INDEX(Physician_Type_Visit_Minutes,MATCH(June!B86,Physician_Type_Practice,0))</f>
        <v>0</v>
      </c>
      <c r="D86" s="43">
        <f t="shared" si="9"/>
        <v>0</v>
      </c>
      <c r="E86" s="17">
        <f>INDEX(Physician_Type_Bed_Rate,MATCH(June!B86,Physician_Type_Practice,0))*'Hospital Input Page'!$C$4</f>
        <v>1165.1390097798767</v>
      </c>
      <c r="F86" s="9">
        <f t="shared" si="7"/>
        <v>0</v>
      </c>
      <c r="H86" s="5">
        <f t="array" ref="H86">SUMIFS(Physician_Visit_June, Physician_Visit_Practice, June!B86, Independent_Contractor_Visits,  'Physician Types'!$D$81) + SUMIFS(Physician_Minutes_June,Physician_Minutes_Practice,June!B86, Independent_Contractor_Minutes, 'Physician Types'!$D$81)/INDEX(Physician_Type_Visit_Minutes,MATCH(June!B86,Physician_Type_Practice,0))</f>
        <v>0</v>
      </c>
      <c r="I86" s="43">
        <f t="shared" si="10"/>
        <v>0</v>
      </c>
      <c r="J86" s="10">
        <f>E86*'Physician Types'!$E$4</f>
        <v>34.954170293396302</v>
      </c>
      <c r="K86" s="10">
        <f t="shared" si="8"/>
        <v>0</v>
      </c>
    </row>
    <row r="87" spans="1:11" x14ac:dyDescent="0.2">
      <c r="A87" s="158">
        <v>3</v>
      </c>
      <c r="B87" s="102" t="s">
        <v>58</v>
      </c>
      <c r="C87" s="5">
        <f>SUMIFS(Physician_Visit_June,Physician_Visit_Practice,June!B87,Physician_Visit_Hospitalists, "&lt;&gt;"&amp;'Physician Types'!$D$81)+SUMIFS(Physician_Visit_June,Physician_Visit_Practice,June!B87,Physician_Visit_Hospitalists,'Physician Types'!$D$81)*INDEX(Physician_Type_Hospitalists_Visit_Minutes,MATCH(June!B87,Physician_Type_Practice,0))/INDEX(Physician_Type_Visit_Minutes,MATCH(June!B87,Physician_Type_Practice,0)) +SUMIF(Physician_Minutes_Practice,June!B87,Physician_Minutes_June)/INDEX(Physician_Type_Visit_Minutes,MATCH(June!B87,Physician_Type_Practice,0))</f>
        <v>0</v>
      </c>
      <c r="D87" s="43">
        <f t="shared" si="9"/>
        <v>0</v>
      </c>
      <c r="E87" s="17">
        <f>INDEX(Physician_Type_Bed_Rate,MATCH(June!B87,Physician_Type_Practice,0))*'Hospital Input Page'!$C$4</f>
        <v>2406.3926282388406</v>
      </c>
      <c r="F87" s="9">
        <f t="shared" si="7"/>
        <v>0</v>
      </c>
      <c r="H87" s="5">
        <f t="array" ref="H87">SUMIFS(Physician_Visit_June, Physician_Visit_Practice, June!B87, Independent_Contractor_Visits,  'Physician Types'!$D$81) + SUMIFS(Physician_Minutes_June,Physician_Minutes_Practice,June!B87, Independent_Contractor_Minutes, 'Physician Types'!$D$81)/INDEX(Physician_Type_Visit_Minutes,MATCH(June!B87,Physician_Type_Practice,0))</f>
        <v>0</v>
      </c>
      <c r="I87" s="43">
        <f t="shared" si="10"/>
        <v>0</v>
      </c>
      <c r="J87" s="10">
        <f>E87*'Physician Types'!$E$4</f>
        <v>72.19177884716521</v>
      </c>
      <c r="K87" s="10">
        <f t="shared" si="8"/>
        <v>0</v>
      </c>
    </row>
    <row r="88" spans="1:11" x14ac:dyDescent="0.2">
      <c r="A88" s="158">
        <v>7</v>
      </c>
      <c r="B88" s="102" t="s">
        <v>73</v>
      </c>
      <c r="C88" s="5">
        <f>SUMIFS(Physician_Visit_June,Physician_Visit_Practice,June!B88,Physician_Visit_Hospitalists, "&lt;&gt;"&amp;'Physician Types'!$D$81)+SUMIFS(Physician_Visit_June,Physician_Visit_Practice,June!B88,Physician_Visit_Hospitalists,'Physician Types'!$D$81)*INDEX(Physician_Type_Hospitalists_Visit_Minutes,MATCH(June!B88,Physician_Type_Practice,0))/INDEX(Physician_Type_Visit_Minutes,MATCH(June!B88,Physician_Type_Practice,0)) +SUMIF(Physician_Minutes_Practice,June!B88,Physician_Minutes_June)/INDEX(Physician_Type_Visit_Minutes,MATCH(June!B88,Physician_Type_Practice,0))</f>
        <v>0</v>
      </c>
      <c r="D88" s="43">
        <f t="shared" si="9"/>
        <v>0</v>
      </c>
      <c r="E88" s="17">
        <f>INDEX(Physician_Type_Bed_Rate,MATCH(June!B88,Physician_Type_Practice,0))*'Hospital Input Page'!$C$4</f>
        <v>7172.3381255293916</v>
      </c>
      <c r="F88" s="9">
        <f t="shared" si="7"/>
        <v>0</v>
      </c>
      <c r="H88" s="5">
        <f t="array" ref="H88">SUMIFS(Physician_Visit_June, Physician_Visit_Practice, June!B88, Independent_Contractor_Visits,  'Physician Types'!$D$81) + SUMIFS(Physician_Minutes_June,Physician_Minutes_Practice,June!B88, Independent_Contractor_Minutes, 'Physician Types'!$D$81)/INDEX(Physician_Type_Visit_Minutes,MATCH(June!B88,Physician_Type_Practice,0))</f>
        <v>0</v>
      </c>
      <c r="I88" s="43">
        <f t="shared" si="10"/>
        <v>0</v>
      </c>
      <c r="J88" s="10">
        <f>E88*'Physician Types'!$E$4</f>
        <v>215.17014376588173</v>
      </c>
      <c r="K88" s="10">
        <f t="shared" si="8"/>
        <v>0</v>
      </c>
    </row>
    <row r="89" spans="1:11" x14ac:dyDescent="0.2">
      <c r="A89" s="158">
        <v>7</v>
      </c>
      <c r="B89" s="128" t="s">
        <v>74</v>
      </c>
      <c r="C89" s="5">
        <f>SUMIFS(Physician_Visit_June,Physician_Visit_Practice,June!B89,Physician_Visit_Hospitalists, "&lt;&gt;"&amp;'Physician Types'!$D$81)+SUMIFS(Physician_Visit_June,Physician_Visit_Practice,June!B89,Physician_Visit_Hospitalists,'Physician Types'!$D$81)*INDEX(Physician_Type_Hospitalists_Visit_Minutes,MATCH(June!B89,Physician_Type_Practice,0))/INDEX(Physician_Type_Visit_Minutes,MATCH(June!B89,Physician_Type_Practice,0)) +SUMIF(Physician_Minutes_Practice,June!B89,Physician_Minutes_June)/INDEX(Physician_Type_Visit_Minutes,MATCH(June!B89,Physician_Type_Practice,0))</f>
        <v>0</v>
      </c>
      <c r="D89" s="43">
        <f t="shared" si="9"/>
        <v>0</v>
      </c>
      <c r="E89" s="17">
        <f>INDEX(Physician_Type_Bed_Rate,MATCH(June!B89,Physician_Type_Practice,0))*'Hospital Input Page'!$C$4</f>
        <v>4073.1073926475756</v>
      </c>
      <c r="F89" s="9">
        <f t="shared" si="7"/>
        <v>0</v>
      </c>
      <c r="H89" s="5">
        <f t="array" ref="H89">SUMIFS(Physician_Visit_June, Physician_Visit_Practice, June!B89, Independent_Contractor_Visits,  'Physician Types'!$D$81) + SUMIFS(Physician_Minutes_June,Physician_Minutes_Practice,June!B89, Independent_Contractor_Minutes, 'Physician Types'!$D$81)/INDEX(Physician_Type_Visit_Minutes,MATCH(June!B89,Physician_Type_Practice,0))</f>
        <v>0</v>
      </c>
      <c r="I89" s="43">
        <f t="shared" si="10"/>
        <v>0</v>
      </c>
      <c r="J89" s="10">
        <f>E89*'Physician Types'!$E$4</f>
        <v>122.19322177942726</v>
      </c>
      <c r="K89" s="10">
        <f t="shared" si="8"/>
        <v>0</v>
      </c>
    </row>
    <row r="90" spans="1:11" x14ac:dyDescent="0.2">
      <c r="A90" s="158">
        <v>4</v>
      </c>
      <c r="B90" s="128" t="s">
        <v>146</v>
      </c>
      <c r="C90" s="5">
        <f>SUMIFS(Physician_Visit_June,Physician_Visit_Practice,June!B90,Physician_Visit_Hospitalists, "&lt;&gt;"&amp;'Physician Types'!$D$81)+SUMIFS(Physician_Visit_June,Physician_Visit_Practice,June!B90,Physician_Visit_Hospitalists,'Physician Types'!$D$81)*INDEX(Physician_Type_Hospitalists_Visit_Minutes,MATCH(June!B90,Physician_Type_Practice,0))/INDEX(Physician_Type_Visit_Minutes,MATCH(June!B90,Physician_Type_Practice,0)) +SUMIF(Physician_Minutes_Practice,June!B90,Physician_Minutes_June)/INDEX(Physician_Type_Visit_Minutes,MATCH(June!B90,Physician_Type_Practice,0))</f>
        <v>0</v>
      </c>
      <c r="D90" s="43">
        <f t="shared" si="9"/>
        <v>0</v>
      </c>
      <c r="E90" s="17">
        <f>INDEX(Physician_Type_Bed_Rate,MATCH(June!B90,Physician_Type_Practice,0))*'Hospital Input Page'!$C$4</f>
        <v>2997.7445879763663</v>
      </c>
      <c r="F90" s="9">
        <f t="shared" si="7"/>
        <v>0</v>
      </c>
      <c r="H90" s="5">
        <f t="array" ref="H90">SUMIFS(Physician_Visit_June, Physician_Visit_Practice, June!B90, Independent_Contractor_Visits,  'Physician Types'!$D$81) + SUMIFS(Physician_Minutes_June,Physician_Minutes_Practice,June!B90, Independent_Contractor_Minutes, 'Physician Types'!$D$81)/INDEX(Physician_Type_Visit_Minutes,MATCH(June!B90,Physician_Type_Practice,0))</f>
        <v>0</v>
      </c>
      <c r="I90" s="43">
        <f t="shared" si="10"/>
        <v>0</v>
      </c>
      <c r="J90" s="10">
        <f>E90*'Physician Types'!$E$4</f>
        <v>89.932337639290992</v>
      </c>
      <c r="K90" s="10">
        <f t="shared" si="8"/>
        <v>0</v>
      </c>
    </row>
    <row r="91" spans="1:11" x14ac:dyDescent="0.2">
      <c r="A91" s="158">
        <v>6</v>
      </c>
      <c r="B91" s="128" t="s">
        <v>71</v>
      </c>
      <c r="C91" s="5">
        <f>SUMIFS(Physician_Visit_June,Physician_Visit_Practice,June!B91,Physician_Visit_Hospitalists, "&lt;&gt;"&amp;'Physician Types'!$D$81)+SUMIFS(Physician_Visit_June,Physician_Visit_Practice,June!B91,Physician_Visit_Hospitalists,'Physician Types'!$D$81)*INDEX(Physician_Type_Hospitalists_Visit_Minutes,MATCH(June!B91,Physician_Type_Practice,0))/INDEX(Physician_Type_Visit_Minutes,MATCH(June!B91,Physician_Type_Practice,0)) +SUMIF(Physician_Minutes_Practice,June!B91,Physician_Minutes_June)/INDEX(Physician_Type_Visit_Minutes,MATCH(June!B91,Physician_Type_Practice,0))</f>
        <v>0</v>
      </c>
      <c r="D91" s="43">
        <f t="shared" si="9"/>
        <v>0</v>
      </c>
      <c r="E91" s="17">
        <f>INDEX(Physician_Type_Bed_Rate,MATCH(June!B91,Physician_Type_Practice,0))*'Hospital Input Page'!$C$4</f>
        <v>4912.3197447503335</v>
      </c>
      <c r="F91" s="9">
        <f t="shared" si="7"/>
        <v>0</v>
      </c>
      <c r="H91" s="5">
        <f t="array" ref="H91">SUMIFS(Physician_Visit_June, Physician_Visit_Practice, June!B91, Independent_Contractor_Visits,  'Physician Types'!$D$81) + SUMIFS(Physician_Minutes_June,Physician_Minutes_Practice,June!B91, Independent_Contractor_Minutes, 'Physician Types'!$D$81)/INDEX(Physician_Type_Visit_Minutes,MATCH(June!B91,Physician_Type_Practice,0))</f>
        <v>0</v>
      </c>
      <c r="I91" s="43">
        <f t="shared" si="10"/>
        <v>0</v>
      </c>
      <c r="J91" s="10">
        <f>E91*'Physician Types'!$E$4</f>
        <v>147.36959234251</v>
      </c>
      <c r="K91" s="10">
        <f t="shared" si="8"/>
        <v>0</v>
      </c>
    </row>
    <row r="92" spans="1:11" x14ac:dyDescent="0.2">
      <c r="A92" s="158">
        <v>4</v>
      </c>
      <c r="B92" s="128" t="s">
        <v>152</v>
      </c>
      <c r="C92" s="5">
        <f>SUMIFS(Physician_Visit_June,Physician_Visit_Practice,June!B92,Physician_Visit_Hospitalists, "&lt;&gt;"&amp;'Physician Types'!$D$81)+SUMIFS(Physician_Visit_June,Physician_Visit_Practice,June!B92,Physician_Visit_Hospitalists,'Physician Types'!$D$81)*INDEX(Physician_Type_Hospitalists_Visit_Minutes,MATCH(June!B92,Physician_Type_Practice,0))/INDEX(Physician_Type_Visit_Minutes,MATCH(June!B92,Physician_Type_Practice,0)) +SUMIF(Physician_Minutes_Practice,June!B92,Physician_Minutes_June)/INDEX(Physician_Type_Visit_Minutes,MATCH(June!B92,Physician_Type_Practice,0))</f>
        <v>0</v>
      </c>
      <c r="D92" s="43">
        <f t="shared" si="9"/>
        <v>0</v>
      </c>
      <c r="E92" s="17">
        <f>IFERROR(INDEX(Physician_Type_Bed_Rate,MATCH(June!B92,Physician_Type_Practice,0))*'Hospital Input Page'!$C$4,0)</f>
        <v>2664.0113037680594</v>
      </c>
      <c r="F92" s="9">
        <f t="shared" si="7"/>
        <v>0</v>
      </c>
      <c r="H92" s="5">
        <f t="array" ref="H92">SUMIFS(Physician_Visit_June, Physician_Visit_Practice, June!B92, Independent_Contractor_Visits,  'Physician Types'!$D$81) + SUMIFS(Physician_Minutes_June,Physician_Minutes_Practice,June!B92, Independent_Contractor_Minutes, 'Physician Types'!$D$81)/INDEX(Physician_Type_Visit_Minutes,MATCH(June!B92,Physician_Type_Practice,0))</f>
        <v>0</v>
      </c>
      <c r="I92" s="43">
        <f t="shared" si="10"/>
        <v>0</v>
      </c>
      <c r="J92" s="10">
        <f>E92*'Physician Types'!$E$4</f>
        <v>79.920339113041777</v>
      </c>
      <c r="K92" s="10">
        <f t="shared" si="8"/>
        <v>0</v>
      </c>
    </row>
    <row r="93" spans="1:11" x14ac:dyDescent="0.2">
      <c r="A93" s="158">
        <v>1</v>
      </c>
      <c r="B93" s="107" t="s">
        <v>30</v>
      </c>
      <c r="C93" s="5">
        <f>SUMIFS(Physician_Visit_June,Physician_Visit_Practice,June!B93,Physician_Visit_Hospitalists, "&lt;&gt;"&amp;'Physician Types'!$D$81)+SUMIFS(Physician_Visit_June,Physician_Visit_Practice,June!B93,Physician_Visit_Hospitalists,'Physician Types'!$D$81)*INDEX(Physician_Type_Hospitalists_Visit_Minutes,MATCH(June!B93,Physician_Type_Practice,0))/INDEX(Physician_Type_Visit_Minutes,MATCH(June!B93,Physician_Type_Practice,0)) +SUMIF(Physician_Minutes_Practice,June!B93,Physician_Minutes_June)/INDEX(Physician_Type_Visit_Minutes,MATCH(June!B93,Physician_Type_Practice,0))</f>
        <v>0</v>
      </c>
      <c r="D93" s="43">
        <f t="shared" si="9"/>
        <v>0</v>
      </c>
      <c r="E93" s="17">
        <f>INDEX(Physician_Type_Bed_Rate,MATCH(June!B93,Physician_Type_Practice,0))*'Hospital Input Page'!$C$4</f>
        <v>2544.9602491674359</v>
      </c>
      <c r="F93" s="9">
        <f t="shared" si="7"/>
        <v>0</v>
      </c>
      <c r="H93" s="5">
        <f t="array" ref="H93">SUMIFS(Physician_Visit_June, Physician_Visit_Practice, June!B93, Independent_Contractor_Visits,  'Physician Types'!$D$81) + SUMIFS(Physician_Minutes_June,Physician_Minutes_Practice,June!B93, Independent_Contractor_Minutes, 'Physician Types'!$D$81)/INDEX(Physician_Type_Visit_Minutes,MATCH(June!B93,Physician_Type_Practice,0))</f>
        <v>0</v>
      </c>
      <c r="I93" s="43">
        <f t="shared" si="10"/>
        <v>0</v>
      </c>
      <c r="J93" s="10">
        <f>E93*'Physician Types'!$E$4</f>
        <v>76.348807475023079</v>
      </c>
      <c r="K93" s="10">
        <f t="shared" si="8"/>
        <v>0</v>
      </c>
    </row>
    <row r="94" spans="1:11" x14ac:dyDescent="0.2">
      <c r="A94" s="158">
        <v>1</v>
      </c>
      <c r="B94" s="107" t="s">
        <v>31</v>
      </c>
      <c r="C94" s="5">
        <f>SUMIFS(Physician_Visit_June,Physician_Visit_Practice,June!B94,Physician_Visit_Hospitalists, "&lt;&gt;"&amp;'Physician Types'!$D$81)+SUMIFS(Physician_Visit_June,Physician_Visit_Practice,June!B94,Physician_Visit_Hospitalists,'Physician Types'!$D$81)*INDEX(Physician_Type_Hospitalists_Visit_Minutes,MATCH(June!B94,Physician_Type_Practice,0))/INDEX(Physician_Type_Visit_Minutes,MATCH(June!B94,Physician_Type_Practice,0)) +SUMIF(Physician_Minutes_Practice,June!B94,Physician_Minutes_June)/INDEX(Physician_Type_Visit_Minutes,MATCH(June!B94,Physician_Type_Practice,0))</f>
        <v>0</v>
      </c>
      <c r="D94" s="43">
        <f t="shared" si="9"/>
        <v>0</v>
      </c>
      <c r="E94" s="17">
        <f>INDEX(Physician_Type_Bed_Rate,MATCH(June!B94,Physician_Type_Practice,0))*'Hospital Input Page'!$C$4</f>
        <v>1258.818528154138</v>
      </c>
      <c r="F94" s="9">
        <f t="shared" si="7"/>
        <v>0</v>
      </c>
      <c r="H94" s="5">
        <f t="array" ref="H94">SUMIFS(Physician_Visit_June, Physician_Visit_Practice, June!B94, Independent_Contractor_Visits,  'Physician Types'!$D$81) + SUMIFS(Physician_Minutes_June,Physician_Minutes_Practice,June!B94, Independent_Contractor_Minutes, 'Physician Types'!$D$81)/INDEX(Physician_Type_Visit_Minutes,MATCH(June!B94,Physician_Type_Practice,0))</f>
        <v>0</v>
      </c>
      <c r="I94" s="43">
        <f t="shared" si="10"/>
        <v>0</v>
      </c>
      <c r="J94" s="10">
        <f>E94*'Physician Types'!$E$4</f>
        <v>37.764555844624141</v>
      </c>
      <c r="K94" s="10">
        <f t="shared" si="8"/>
        <v>0</v>
      </c>
    </row>
    <row r="95" spans="1:11" x14ac:dyDescent="0.2">
      <c r="A95" s="158">
        <v>2</v>
      </c>
      <c r="B95" s="107" t="s">
        <v>48</v>
      </c>
      <c r="C95" s="5">
        <f>SUMIFS(Physician_Visit_June,Physician_Visit_Practice,June!B95,Physician_Visit_Hospitalists, "&lt;&gt;"&amp;'Physician Types'!$D$81)+SUMIFS(Physician_Visit_June,Physician_Visit_Practice,June!B95,Physician_Visit_Hospitalists,'Physician Types'!$D$81)*INDEX(Physician_Type_Hospitalists_Visit_Minutes,MATCH(June!B95,Physician_Type_Practice,0))/INDEX(Physician_Type_Visit_Minutes,MATCH(June!B95,Physician_Type_Practice,0)) +SUMIF(Physician_Minutes_Practice,June!B95,Physician_Minutes_June)/INDEX(Physician_Type_Visit_Minutes,MATCH(June!B95,Physician_Type_Practice,0))</f>
        <v>0</v>
      </c>
      <c r="D95" s="43">
        <f t="shared" ref="D95" si="11">C95*INDEX(Physician_Type_Visit_Minutes,MATCH(B95,Physician_Type_Practice,0))/INDEX(Physician_Type_FTE_Minutes,MATCH(B95,Physician_Type_Practice,0))</f>
        <v>0</v>
      </c>
      <c r="E95" s="17">
        <f>INDEX(Physician_Type_Bed_Rate,MATCH(June!B95,Physician_Type_Practice,0))*'Hospital Input Page'!$C$4</f>
        <v>2336.1329894581445</v>
      </c>
      <c r="F95" s="9">
        <f t="shared" ref="F95" si="12">D95*E95</f>
        <v>0</v>
      </c>
      <c r="H95" s="5">
        <f t="array" ref="H95">SUMIFS(Physician_Visit_June, Physician_Visit_Practice, June!B95, Independent_Contractor_Visits,  'Physician Types'!$D$81) + SUMIFS(Physician_Minutes_June,Physician_Minutes_Practice,June!B95, Independent_Contractor_Minutes, 'Physician Types'!$D$81)/INDEX(Physician_Type_Visit_Minutes,MATCH(June!B95,Physician_Type_Practice,0))</f>
        <v>0</v>
      </c>
      <c r="I95" s="43">
        <f t="shared" ref="I95" si="13">H95*INDEX(Physician_Type_Visit_Minutes,MATCH(B95,Physician_Type_Practice,0))/INDEX(Physician_Type_FTE_Minutes,MATCH(B95,Physician_Type_Practice,0))</f>
        <v>0</v>
      </c>
      <c r="J95" s="10">
        <f>E95*'Physician Types'!$E$4</f>
        <v>70.083989683744335</v>
      </c>
      <c r="K95" s="10">
        <f t="shared" ref="K95" si="14">I95*J95</f>
        <v>0</v>
      </c>
    </row>
    <row r="96" spans="1:11" x14ac:dyDescent="0.2">
      <c r="A96" s="158">
        <v>2</v>
      </c>
      <c r="B96" s="107" t="s">
        <v>49</v>
      </c>
      <c r="C96" s="5">
        <f>SUMIFS(Physician_Visit_June,Physician_Visit_Practice,June!B96,Physician_Visit_Hospitalists, "&lt;&gt;"&amp;'Physician Types'!$D$81)+SUMIFS(Physician_Visit_June,Physician_Visit_Practice,June!B96,Physician_Visit_Hospitalists,'Physician Types'!$D$81)*INDEX(Physician_Type_Hospitalists_Visit_Minutes,MATCH(June!B96,Physician_Type_Practice,0))/INDEX(Physician_Type_Visit_Minutes,MATCH(June!B96,Physician_Type_Practice,0)) +SUMIF(Physician_Minutes_Practice,June!B96,Physician_Minutes_June)/INDEX(Physician_Type_Visit_Minutes,MATCH(June!B96,Physician_Type_Practice,0))</f>
        <v>0</v>
      </c>
      <c r="D96" s="43">
        <f t="shared" si="9"/>
        <v>0</v>
      </c>
      <c r="E96" s="17">
        <f>INDEX(Physician_Type_Bed_Rate,MATCH(June!B96,Physician_Type_Practice,0))*'Hospital Input Page'!$C$4</f>
        <v>1727.2161200254454</v>
      </c>
      <c r="F96" s="9">
        <f t="shared" si="7"/>
        <v>0</v>
      </c>
      <c r="H96" s="5">
        <f t="array" ref="H96">SUMIFS(Physician_Visit_June, Physician_Visit_Practice, June!B96, Independent_Contractor_Visits,  'Physician Types'!$D$81) + SUMIFS(Physician_Minutes_June,Physician_Minutes_Practice,June!B96, Independent_Contractor_Minutes, 'Physician Types'!$D$81)/INDEX(Physician_Type_Visit_Minutes,MATCH(June!B96,Physician_Type_Practice,0))</f>
        <v>0</v>
      </c>
      <c r="I96" s="43">
        <f t="shared" si="10"/>
        <v>0</v>
      </c>
      <c r="J96" s="10">
        <f>E96*'Physician Types'!$E$4</f>
        <v>51.816483600763362</v>
      </c>
      <c r="K96" s="10">
        <f t="shared" si="8"/>
        <v>0</v>
      </c>
    </row>
    <row r="97" spans="1:11" x14ac:dyDescent="0.2">
      <c r="A97" s="158">
        <v>1</v>
      </c>
      <c r="B97" s="107" t="s">
        <v>32</v>
      </c>
      <c r="C97" s="5">
        <f>SUMIFS(Physician_Visit_June,Physician_Visit_Practice,June!B97,Physician_Visit_Hospitalists, "&lt;&gt;"&amp;'Physician Types'!$D$81)+SUMIFS(Physician_Visit_June,Physician_Visit_Practice,June!B97,Physician_Visit_Hospitalists,'Physician Types'!$D$81)*INDEX(Physician_Type_Hospitalists_Visit_Minutes,MATCH(June!B97,Physician_Type_Practice,0))/INDEX(Physician_Type_Visit_Minutes,MATCH(June!B97,Physician_Type_Practice,0)) +SUMIF(Physician_Minutes_Practice,June!B97,Physician_Minutes_June)/INDEX(Physician_Type_Visit_Minutes,MATCH(June!B97,Physician_Type_Practice,0))</f>
        <v>0</v>
      </c>
      <c r="D97" s="43">
        <f t="shared" si="9"/>
        <v>0</v>
      </c>
      <c r="E97" s="17">
        <f>INDEX(Physician_Type_Bed_Rate,MATCH(June!B97,Physician_Type_Practice,0))*'Hospital Input Page'!$C$4</f>
        <v>1297.8516608100804</v>
      </c>
      <c r="F97" s="9">
        <f t="shared" si="7"/>
        <v>0</v>
      </c>
      <c r="H97" s="5">
        <f t="array" ref="H97">SUMIFS(Physician_Visit_June, Physician_Visit_Practice, June!B97, Independent_Contractor_Visits,  'Physician Types'!$D$81) + SUMIFS(Physician_Minutes_June,Physician_Minutes_Practice,June!B97, Independent_Contractor_Minutes, 'Physician Types'!$D$81)/INDEX(Physician_Type_Visit_Minutes,MATCH(June!B97,Physician_Type_Practice,0))</f>
        <v>0</v>
      </c>
      <c r="I97" s="43">
        <f t="shared" si="10"/>
        <v>0</v>
      </c>
      <c r="J97" s="10">
        <f>E97*'Physician Types'!$E$4</f>
        <v>38.935549824302413</v>
      </c>
      <c r="K97" s="10">
        <f t="shared" si="8"/>
        <v>0</v>
      </c>
    </row>
    <row r="98" spans="1:11" x14ac:dyDescent="0.2">
      <c r="A98" s="158"/>
      <c r="B98" s="102" t="s">
        <v>20</v>
      </c>
      <c r="C98" s="5">
        <f>SUMIFS(Physician_Visit_June,Physician_Visit_Practice,June!B98,Physician_Visit_Hospitalists, "&lt;&gt;"&amp;'Physician Types'!$D$81)+SUMIFS(Physician_Visit_June,Physician_Visit_Practice,June!B98,Physician_Visit_Hospitalists,'Physician Types'!$D$81)*INDEX(Physician_Type_Hospitalists_Visit_Minutes,MATCH(June!B98,Physician_Type_Practice,0))/INDEX(Physician_Type_Visit_Minutes,MATCH(June!B98,Physician_Type_Practice,0)) +SUMIF(Physician_Minutes_Practice,June!B98,Physician_Minutes_June)/INDEX(Physician_Type_Visit_Minutes,MATCH(June!B98,Physician_Type_Practice,0))</f>
        <v>390</v>
      </c>
      <c r="D98" s="43">
        <f t="shared" si="9"/>
        <v>0.75001442335429525</v>
      </c>
      <c r="E98" s="17">
        <f>INDEX(Physician_Type_Bed_Rate,MATCH(June!B98,Physician_Type_Practice,0))*'Hospital Input Page'!$C$4</f>
        <v>493.76912809766964</v>
      </c>
      <c r="F98" s="9">
        <f t="shared" si="7"/>
        <v>370.33396788032684</v>
      </c>
      <c r="H98" s="5">
        <f t="array" ref="H98">SUMIFS(Physician_Visit_June, Physician_Visit_Practice, June!B98, Independent_Contractor_Visits,  'Physician Types'!$D$81) + SUMIFS(Physician_Minutes_June,Physician_Minutes_Practice,June!B98, Independent_Contractor_Minutes, 'Physician Types'!$D$81)/INDEX(Physician_Type_Visit_Minutes,MATCH(June!B98,Physician_Type_Practice,0))</f>
        <v>0</v>
      </c>
      <c r="I98" s="43">
        <f t="shared" si="10"/>
        <v>0</v>
      </c>
      <c r="J98" s="10">
        <f>E98*'Physician Types'!$E$4</f>
        <v>14.813073842930088</v>
      </c>
      <c r="K98" s="10">
        <f t="shared" si="8"/>
        <v>0</v>
      </c>
    </row>
    <row r="99" spans="1:11" x14ac:dyDescent="0.2">
      <c r="A99" s="158">
        <v>1</v>
      </c>
      <c r="B99" s="107" t="s">
        <v>33</v>
      </c>
      <c r="C99" s="5">
        <f>SUMIFS(Physician_Visit_June,Physician_Visit_Practice,June!B99,Physician_Visit_Hospitalists, "&lt;&gt;"&amp;'Physician Types'!$D$81)+SUMIFS(Physician_Visit_June,Physician_Visit_Practice,June!B99,Physician_Visit_Hospitalists,'Physician Types'!$D$81)*INDEX(Physician_Type_Hospitalists_Visit_Minutes,MATCH(June!B99,Physician_Type_Practice,0))/INDEX(Physician_Type_Visit_Minutes,MATCH(June!B99,Physician_Type_Practice,0)) +SUMIF(Physician_Minutes_Practice,June!B99,Physician_Minutes_June)/INDEX(Physician_Type_Visit_Minutes,MATCH(June!B99,Physician_Type_Practice,0))</f>
        <v>0</v>
      </c>
      <c r="D99" s="43">
        <f t="shared" si="9"/>
        <v>0</v>
      </c>
      <c r="E99" s="17">
        <f>INDEX(Physician_Type_Bed_Rate,MATCH(June!B99,Physician_Type_Practice,0))*'Hospital Input Page'!$C$4</f>
        <v>1268.5768113181236</v>
      </c>
      <c r="F99" s="9">
        <f t="shared" si="7"/>
        <v>0</v>
      </c>
      <c r="H99" s="5">
        <f t="array" ref="H99">SUMIFS(Physician_Visit_June, Physician_Visit_Practice, June!B99, Independent_Contractor_Visits,  'Physician Types'!$D$81) + SUMIFS(Physician_Minutes_June,Physician_Minutes_Practice,June!B99, Independent_Contractor_Minutes, 'Physician Types'!$D$81)/INDEX(Physician_Type_Visit_Minutes,MATCH(June!B99,Physician_Type_Practice,0))</f>
        <v>0</v>
      </c>
      <c r="I99" s="43">
        <f t="shared" si="10"/>
        <v>0</v>
      </c>
      <c r="J99" s="10">
        <f>E99*'Physician Types'!$E$4</f>
        <v>38.057304339543705</v>
      </c>
      <c r="K99" s="10">
        <f t="shared" si="8"/>
        <v>0</v>
      </c>
    </row>
    <row r="100" spans="1:11" x14ac:dyDescent="0.2">
      <c r="A100" s="158">
        <v>2</v>
      </c>
      <c r="B100" s="107" t="s">
        <v>50</v>
      </c>
      <c r="C100" s="5">
        <f>SUMIFS(Physician_Visit_June,Physician_Visit_Practice,June!B100,Physician_Visit_Hospitalists, "&lt;&gt;"&amp;'Physician Types'!$D$81)+SUMIFS(Physician_Visit_June,Physician_Visit_Practice,June!B100,Physician_Visit_Hospitalists,'Physician Types'!$D$81)*INDEX(Physician_Type_Hospitalists_Visit_Minutes,MATCH(June!B100,Physician_Type_Practice,0))/INDEX(Physician_Type_Visit_Minutes,MATCH(June!B100,Physician_Type_Practice,0)) +SUMIF(Physician_Minutes_Practice,June!B100,Physician_Minutes_June)/INDEX(Physician_Type_Visit_Minutes,MATCH(June!B100,Physician_Type_Practice,0))</f>
        <v>0</v>
      </c>
      <c r="D100" s="43">
        <f t="shared" si="9"/>
        <v>0</v>
      </c>
      <c r="E100" s="17">
        <f>INDEX(Physician_Type_Bed_Rate,MATCH(June!B100,Physician_Type_Practice,0))*'Hospital Input Page'!$C$4</f>
        <v>2529.3469961050587</v>
      </c>
      <c r="F100" s="9">
        <f t="shared" si="7"/>
        <v>0</v>
      </c>
      <c r="H100" s="5">
        <f t="array" ref="H100">SUMIFS(Physician_Visit_June, Physician_Visit_Practice, June!B100, Independent_Contractor_Visits,  'Physician Types'!$D$81) + SUMIFS(Physician_Minutes_June,Physician_Minutes_Practice,June!B100, Independent_Contractor_Minutes, 'Physician Types'!$D$81)/INDEX(Physician_Type_Visit_Minutes,MATCH(June!B100,Physician_Type_Practice,0))</f>
        <v>0</v>
      </c>
      <c r="I100" s="43">
        <f t="shared" si="10"/>
        <v>0</v>
      </c>
      <c r="J100" s="10">
        <f>E100*'Physician Types'!$E$4</f>
        <v>75.880409883151756</v>
      </c>
      <c r="K100" s="10">
        <f t="shared" si="8"/>
        <v>0</v>
      </c>
    </row>
    <row r="101" spans="1:11" x14ac:dyDescent="0.2">
      <c r="A101" s="158">
        <v>2</v>
      </c>
      <c r="B101" s="107" t="s">
        <v>51</v>
      </c>
      <c r="C101" s="5">
        <f>SUMIFS(Physician_Visit_June,Physician_Visit_Practice,June!B101,Physician_Visit_Hospitalists, "&lt;&gt;"&amp;'Physician Types'!$D$81)+SUMIFS(Physician_Visit_June,Physician_Visit_Practice,June!B101,Physician_Visit_Hospitalists,'Physician Types'!$D$81)*INDEX(Physician_Type_Hospitalists_Visit_Minutes,MATCH(June!B101,Physician_Type_Practice,0))/INDEX(Physician_Type_Visit_Minutes,MATCH(June!B101,Physician_Type_Practice,0)) +SUMIF(Physician_Minutes_Practice,June!B101,Physician_Minutes_June)/INDEX(Physician_Type_Visit_Minutes,MATCH(June!B101,Physician_Type_Practice,0))</f>
        <v>0</v>
      </c>
      <c r="D101" s="43">
        <f t="shared" si="9"/>
        <v>0</v>
      </c>
      <c r="E101" s="17">
        <f>INDEX(Physician_Type_Bed_Rate,MATCH(June!B101,Physician_Type_Practice,0))*'Hospital Input Page'!$C$4</f>
        <v>1887.2519639148086</v>
      </c>
      <c r="F101" s="9">
        <f t="shared" si="7"/>
        <v>0</v>
      </c>
      <c r="H101" s="5">
        <f t="array" ref="H101">SUMIFS(Physician_Visit_June, Physician_Visit_Practice, June!B101, Independent_Contractor_Visits,  'Physician Types'!$D$81) + SUMIFS(Physician_Minutes_June,Physician_Minutes_Practice,June!B101, Independent_Contractor_Minutes, 'Physician Types'!$D$81)/INDEX(Physician_Type_Visit_Minutes,MATCH(June!B101,Physician_Type_Practice,0))</f>
        <v>0</v>
      </c>
      <c r="I101" s="43">
        <f t="shared" si="10"/>
        <v>0</v>
      </c>
      <c r="J101" s="10">
        <f>E101*'Physician Types'!$E$4</f>
        <v>56.617558917444256</v>
      </c>
      <c r="K101" s="10">
        <f t="shared" si="8"/>
        <v>0</v>
      </c>
    </row>
    <row r="102" spans="1:11" x14ac:dyDescent="0.2">
      <c r="A102" s="158">
        <v>2</v>
      </c>
      <c r="B102" s="107" t="s">
        <v>52</v>
      </c>
      <c r="C102" s="5">
        <f>SUMIFS(Physician_Visit_June,Physician_Visit_Practice,June!B102,Physician_Visit_Hospitalists, "&lt;&gt;"&amp;'Physician Types'!$D$81)+SUMIFS(Physician_Visit_June,Physician_Visit_Practice,June!B102,Physician_Visit_Hospitalists,'Physician Types'!$D$81)*INDEX(Physician_Type_Hospitalists_Visit_Minutes,MATCH(June!B102,Physician_Type_Practice,0))/INDEX(Physician_Type_Visit_Minutes,MATCH(June!B102,Physician_Type_Practice,0)) +SUMIF(Physician_Minutes_Practice,June!B102,Physician_Minutes_June)/INDEX(Physician_Type_Visit_Minutes,MATCH(June!B102,Physician_Type_Practice,0))</f>
        <v>0</v>
      </c>
      <c r="D102" s="43">
        <f t="shared" si="9"/>
        <v>0</v>
      </c>
      <c r="E102" s="17">
        <f>INDEX(Physician_Type_Bed_Rate,MATCH(June!B102,Physician_Type_Practice,0))*'Hospital Input Page'!$C$4</f>
        <v>2088.2725970929114</v>
      </c>
      <c r="F102" s="9">
        <f t="shared" si="7"/>
        <v>0</v>
      </c>
      <c r="H102" s="5">
        <f t="array" ref="H102">SUMIFS(Physician_Visit_June, Physician_Visit_Practice, June!B102, Independent_Contractor_Visits,  'Physician Types'!$D$81) + SUMIFS(Physician_Minutes_June,Physician_Minutes_Practice,June!B102, Independent_Contractor_Minutes, 'Physician Types'!$D$81)/INDEX(Physician_Type_Visit_Minutes,MATCH(June!B102,Physician_Type_Practice,0))</f>
        <v>0</v>
      </c>
      <c r="I102" s="43">
        <f t="shared" si="10"/>
        <v>0</v>
      </c>
      <c r="J102" s="10">
        <f>E102*'Physician Types'!$E$4</f>
        <v>62.648177912787339</v>
      </c>
      <c r="K102" s="10">
        <f t="shared" si="8"/>
        <v>0</v>
      </c>
    </row>
    <row r="103" spans="1:11" x14ac:dyDescent="0.2">
      <c r="A103" s="158">
        <v>4</v>
      </c>
      <c r="B103" s="107" t="s">
        <v>52</v>
      </c>
      <c r="C103" s="5">
        <f>SUMIFS(Physician_Visit_June,Physician_Visit_Practice,June!B103,Physician_Visit_Hospitalists, "&lt;&gt;"&amp;'Physician Types'!$D$81)+SUMIFS(Physician_Visit_June,Physician_Visit_Practice,June!B103,Physician_Visit_Hospitalists,'Physician Types'!$D$81)*INDEX(Physician_Type_Hospitalists_Visit_Minutes,MATCH(June!B103,Physician_Type_Practice,0))/INDEX(Physician_Type_Visit_Minutes,MATCH(June!B103,Physician_Type_Practice,0)) +SUMIF(Physician_Minutes_Practice,June!B103,Physician_Minutes_June)/INDEX(Physician_Type_Visit_Minutes,MATCH(June!B103,Physician_Type_Practice,0))</f>
        <v>0</v>
      </c>
      <c r="D103" s="43">
        <f t="shared" si="9"/>
        <v>0</v>
      </c>
      <c r="E103" s="17">
        <f>INDEX(Physician_Type_Bed_Rate,MATCH(June!B103,Physician_Type_Practice,0))*'Hospital Input Page'!$C$4</f>
        <v>2088.2725970929114</v>
      </c>
      <c r="F103" s="9">
        <f t="shared" si="7"/>
        <v>0</v>
      </c>
      <c r="H103" s="5">
        <f t="array" ref="H103">SUMIFS(Physician_Visit_June, Physician_Visit_Practice, June!B103, Independent_Contractor_Visits,  'Physician Types'!$D$81) + SUMIFS(Physician_Minutes_June,Physician_Minutes_Practice,June!B103, Independent_Contractor_Minutes, 'Physician Types'!$D$81)/INDEX(Physician_Type_Visit_Minutes,MATCH(June!B103,Physician_Type_Practice,0))</f>
        <v>0</v>
      </c>
      <c r="I103" s="43">
        <f t="shared" si="10"/>
        <v>0</v>
      </c>
      <c r="J103" s="10">
        <f>E103*'Physician Types'!$E$4</f>
        <v>62.648177912787339</v>
      </c>
      <c r="K103" s="10">
        <f t="shared" si="8"/>
        <v>0</v>
      </c>
    </row>
    <row r="104" spans="1:11" x14ac:dyDescent="0.2">
      <c r="A104" s="158">
        <v>5</v>
      </c>
      <c r="B104" s="102" t="s">
        <v>68</v>
      </c>
      <c r="C104" s="5">
        <f>SUMIFS(Physician_Visit_June,Physician_Visit_Practice,June!B104,Physician_Visit_Hospitalists, "&lt;&gt;"&amp;'Physician Types'!$D$81)+SUMIFS(Physician_Visit_June,Physician_Visit_Practice,June!B104,Physician_Visit_Hospitalists,'Physician Types'!$D$81)*INDEX(Physician_Type_Hospitalists_Visit_Minutes,MATCH(June!B104,Physician_Type_Practice,0))/INDEX(Physician_Type_Visit_Minutes,MATCH(June!B104,Physician_Type_Practice,0)) +SUMIF(Physician_Minutes_Practice,June!B104,Physician_Minutes_June)/INDEX(Physician_Type_Visit_Minutes,MATCH(June!B104,Physician_Type_Practice,0))</f>
        <v>0</v>
      </c>
      <c r="D104" s="43">
        <f t="shared" si="9"/>
        <v>0</v>
      </c>
      <c r="E104" s="17">
        <f>INDEX(Physician_Type_Bed_Rate,MATCH(June!B104,Physician_Type_Practice,0))*'Hospital Input Page'!$C$4</f>
        <v>2708.8994063223927</v>
      </c>
      <c r="F104" s="9">
        <f t="shared" si="7"/>
        <v>0</v>
      </c>
      <c r="H104" s="5">
        <f t="array" ref="H104">SUMIFS(Physician_Visit_June, Physician_Visit_Practice, June!B104, Independent_Contractor_Visits,  'Physician Types'!$D$81) + SUMIFS(Physician_Minutes_June,Physician_Minutes_Practice,June!B104, Independent_Contractor_Minutes, 'Physician Types'!$D$81)/INDEX(Physician_Type_Visit_Minutes,MATCH(June!B104,Physician_Type_Practice,0))</f>
        <v>0</v>
      </c>
      <c r="I104" s="43">
        <f t="shared" si="10"/>
        <v>0</v>
      </c>
      <c r="J104" s="10">
        <f>E104*'Physician Types'!$E$4</f>
        <v>81.266982189671779</v>
      </c>
      <c r="K104" s="10">
        <f t="shared" si="8"/>
        <v>0</v>
      </c>
    </row>
    <row r="105" spans="1:11" x14ac:dyDescent="0.2">
      <c r="A105" s="158">
        <v>2</v>
      </c>
      <c r="B105" s="107" t="s">
        <v>53</v>
      </c>
      <c r="C105" s="5">
        <f>SUMIFS(Physician_Visit_June,Physician_Visit_Practice,June!B105,Physician_Visit_Hospitalists, "&lt;&gt;"&amp;'Physician Types'!$D$81)+SUMIFS(Physician_Visit_June,Physician_Visit_Practice,June!B105,Physician_Visit_Hospitalists,'Physician Types'!$D$81)*INDEX(Physician_Type_Hospitalists_Visit_Minutes,MATCH(June!B105,Physician_Type_Practice,0))/INDEX(Physician_Type_Visit_Minutes,MATCH(June!B105,Physician_Type_Practice,0)) +SUMIF(Physician_Minutes_Practice,June!B105,Physician_Minutes_June)/INDEX(Physician_Type_Visit_Minutes,MATCH(June!B105,Physician_Type_Practice,0))</f>
        <v>0</v>
      </c>
      <c r="D105" s="43">
        <f t="shared" si="9"/>
        <v>0</v>
      </c>
      <c r="E105" s="17">
        <f>INDEX(Physician_Type_Bed_Rate,MATCH(June!B105,Physician_Type_Practice,0))*'Hospital Input Page'!$C$4</f>
        <v>1619.8750052216039</v>
      </c>
      <c r="F105" s="9">
        <f t="shared" si="7"/>
        <v>0</v>
      </c>
      <c r="H105" s="5">
        <f t="array" ref="H105">SUMIFS(Physician_Visit_June, Physician_Visit_Practice, June!B105, Independent_Contractor_Visits,  'Physician Types'!$D$81) + SUMIFS(Physician_Minutes_June,Physician_Minutes_Practice,June!B105, Independent_Contractor_Minutes, 'Physician Types'!$D$81)/INDEX(Physician_Type_Visit_Minutes,MATCH(June!B105,Physician_Type_Practice,0))</f>
        <v>0</v>
      </c>
      <c r="I105" s="43">
        <f t="shared" si="10"/>
        <v>0</v>
      </c>
      <c r="J105" s="10">
        <f>E105*'Physician Types'!$E$4</f>
        <v>48.596250156648118</v>
      </c>
      <c r="K105" s="10">
        <f t="shared" si="8"/>
        <v>0</v>
      </c>
    </row>
    <row r="106" spans="1:11" x14ac:dyDescent="0.2">
      <c r="A106" s="158">
        <v>3</v>
      </c>
      <c r="B106" s="102" t="s">
        <v>59</v>
      </c>
      <c r="C106" s="5">
        <f>SUMIFS(Physician_Visit_June,Physician_Visit_Practice,June!B106,Physician_Visit_Hospitalists, "&lt;&gt;"&amp;'Physician Types'!$D$81)+SUMIFS(Physician_Visit_June,Physician_Visit_Practice,June!B106,Physician_Visit_Hospitalists,'Physician Types'!$D$81)*INDEX(Physician_Type_Hospitalists_Visit_Minutes,MATCH(June!B106,Physician_Type_Practice,0))/INDEX(Physician_Type_Visit_Minutes,MATCH(June!B106,Physician_Type_Practice,0)) +SUMIF(Physician_Minutes_Practice,June!B106,Physician_Minutes_June)/INDEX(Physician_Type_Visit_Minutes,MATCH(June!B106,Physician_Type_Practice,0))</f>
        <v>0</v>
      </c>
      <c r="D106" s="43">
        <f t="shared" si="9"/>
        <v>0</v>
      </c>
      <c r="E106" s="17">
        <f>INDEX(Physician_Type_Bed_Rate,MATCH(June!B106,Physician_Type_Practice,0))*'Hospital Input Page'!$C$4</f>
        <v>380.57304339543714</v>
      </c>
      <c r="F106" s="9">
        <f t="shared" si="7"/>
        <v>0</v>
      </c>
      <c r="H106" s="5">
        <f t="array" ref="H106">SUMIFS(Physician_Visit_June, Physician_Visit_Practice, June!B106, Independent_Contractor_Visits,  'Physician Types'!$D$81) + SUMIFS(Physician_Minutes_June,Physician_Minutes_Practice,June!B106, Independent_Contractor_Minutes, 'Physician Types'!$D$81)/INDEX(Physician_Type_Visit_Minutes,MATCH(June!B106,Physician_Type_Practice,0))</f>
        <v>0</v>
      </c>
      <c r="I106" s="43">
        <f t="shared" si="10"/>
        <v>0</v>
      </c>
      <c r="J106" s="10">
        <f>E106*'Physician Types'!$E$4</f>
        <v>11.417191301863113</v>
      </c>
      <c r="K106" s="10">
        <f t="shared" si="8"/>
        <v>0</v>
      </c>
    </row>
    <row r="107" spans="1:11" x14ac:dyDescent="0.2">
      <c r="A107" s="158">
        <v>7</v>
      </c>
      <c r="B107" s="102" t="s">
        <v>75</v>
      </c>
      <c r="C107" s="5">
        <f>SUMIFS(Physician_Visit_June,Physician_Visit_Practice,June!B107,Physician_Visit_Hospitalists, "&lt;&gt;"&amp;'Physician Types'!$D$81)+SUMIFS(Physician_Visit_June,Physician_Visit_Practice,June!B107,Physician_Visit_Hospitalists,'Physician Types'!$D$81)*INDEX(Physician_Type_Hospitalists_Visit_Minutes,MATCH(June!B107,Physician_Type_Practice,0))/INDEX(Physician_Type_Visit_Minutes,MATCH(June!B107,Physician_Type_Practice,0)) +SUMIF(Physician_Minutes_Practice,June!B107,Physician_Minutes_June)/INDEX(Physician_Type_Visit_Minutes,MATCH(June!B107,Physician_Type_Practice,0))</f>
        <v>0</v>
      </c>
      <c r="D107" s="43">
        <f t="shared" si="9"/>
        <v>0</v>
      </c>
      <c r="E107" s="17">
        <f>INDEX(Physician_Type_Bed_Rate,MATCH(June!B107,Physician_Type_Practice,0))*'Hospital Input Page'!$C$4</f>
        <v>7974.4690016090053</v>
      </c>
      <c r="F107" s="9">
        <f t="shared" si="7"/>
        <v>0</v>
      </c>
      <c r="H107" s="5">
        <f t="array" ref="H107">SUMIFS(Physician_Visit_June, Physician_Visit_Practice, June!B107, Independent_Contractor_Visits,  'Physician Types'!$D$81) + SUMIFS(Physician_Minutes_June,Physician_Minutes_Practice,June!B107, Independent_Contractor_Minutes, 'Physician Types'!$D$81)/INDEX(Physician_Type_Visit_Minutes,MATCH(June!B107,Physician_Type_Practice,0))</f>
        <v>0</v>
      </c>
      <c r="I107" s="43">
        <f t="shared" si="10"/>
        <v>0</v>
      </c>
      <c r="J107" s="10">
        <f>E107*'Physician Types'!$E$4</f>
        <v>239.23407004827015</v>
      </c>
      <c r="K107" s="10">
        <f t="shared" si="8"/>
        <v>0</v>
      </c>
    </row>
    <row r="108" spans="1:11" x14ac:dyDescent="0.2">
      <c r="A108" s="158">
        <v>4</v>
      </c>
      <c r="B108" s="128" t="s">
        <v>140</v>
      </c>
      <c r="C108" s="5">
        <f>SUMIFS(Physician_Visit_June,Physician_Visit_Practice,June!B108,Physician_Visit_Hospitalists, "&lt;&gt;"&amp;'Physician Types'!$D$81)+SUMIFS(Physician_Visit_June,Physician_Visit_Practice,June!B108,Physician_Visit_Hospitalists,'Physician Types'!$D$81)*INDEX(Physician_Type_Hospitalists_Visit_Minutes,MATCH(June!B108,Physician_Type_Practice,0))/INDEX(Physician_Type_Visit_Minutes,MATCH(June!B108,Physician_Type_Practice,0)) +SUMIF(Physician_Minutes_Practice,June!B108,Physician_Minutes_June)/INDEX(Physician_Type_Visit_Minutes,MATCH(June!B108,Physician_Type_Practice,0))</f>
        <v>0</v>
      </c>
      <c r="D108" s="43">
        <f t="shared" si="9"/>
        <v>0</v>
      </c>
      <c r="E108" s="17">
        <f>INDEX(Physician_Type_Bed_Rate,MATCH(June!B108,Physician_Type_Practice,0))*'Hospital Input Page'!$C$4</f>
        <v>3159.7320884985265</v>
      </c>
      <c r="F108" s="9">
        <f t="shared" si="7"/>
        <v>0</v>
      </c>
      <c r="H108" s="5">
        <f t="array" ref="H108">SUMIFS(Physician_Visit_June, Physician_Visit_Practice, June!B108, Independent_Contractor_Visits,  'Physician Types'!$D$81) + SUMIFS(Physician_Minutes_June,Physician_Minutes_Practice,June!B108, Independent_Contractor_Minutes, 'Physician Types'!$D$81)/INDEX(Physician_Type_Visit_Minutes,MATCH(June!B108,Physician_Type_Practice,0))</f>
        <v>0</v>
      </c>
      <c r="I108" s="43">
        <f t="shared" si="10"/>
        <v>0</v>
      </c>
      <c r="J108" s="10">
        <f>E108*'Physician Types'!$E$4</f>
        <v>94.791962654955796</v>
      </c>
      <c r="K108" s="10">
        <f t="shared" si="8"/>
        <v>0</v>
      </c>
    </row>
    <row r="109" spans="1:11" x14ac:dyDescent="0.2">
      <c r="A109" s="158">
        <v>7</v>
      </c>
      <c r="B109" s="102" t="s">
        <v>76</v>
      </c>
      <c r="C109" s="5">
        <f>SUMIFS(Physician_Visit_June,Physician_Visit_Practice,June!B109,Physician_Visit_Hospitalists, "&lt;&gt;"&amp;'Physician Types'!$D$81)+SUMIFS(Physician_Visit_June,Physician_Visit_Practice,June!B109,Physician_Visit_Hospitalists,'Physician Types'!$D$81)*INDEX(Physician_Type_Hospitalists_Visit_Minutes,MATCH(June!B109,Physician_Type_Practice,0))/INDEX(Physician_Type_Visit_Minutes,MATCH(June!B109,Physician_Type_Practice,0)) +SUMIF(Physician_Minutes_Practice,June!B109,Physician_Minutes_June)/INDEX(Physician_Type_Visit_Minutes,MATCH(June!B109,Physician_Type_Practice,0))</f>
        <v>0</v>
      </c>
      <c r="D109" s="43">
        <f t="shared" si="9"/>
        <v>0</v>
      </c>
      <c r="E109" s="17">
        <f>INDEX(Physician_Type_Bed_Rate,MATCH(June!B109,Physician_Type_Practice,0))*'Hospital Input Page'!$C$4</f>
        <v>7709.0436995485979</v>
      </c>
      <c r="F109" s="9">
        <f t="shared" si="7"/>
        <v>0</v>
      </c>
      <c r="H109" s="5">
        <f t="array" ref="H109">SUMIFS(Physician_Visit_June, Physician_Visit_Practice, June!B109, Independent_Contractor_Visits,  'Physician Types'!$D$81) + SUMIFS(Physician_Minutes_June,Physician_Minutes_Practice,June!B109, Independent_Contractor_Minutes, 'Physician Types'!$D$81)/INDEX(Physician_Type_Visit_Minutes,MATCH(June!B109,Physician_Type_Practice,0))</f>
        <v>0</v>
      </c>
      <c r="I109" s="43">
        <f t="shared" si="10"/>
        <v>0</v>
      </c>
      <c r="J109" s="10">
        <f>E109*'Physician Types'!$E$4</f>
        <v>231.27131098645793</v>
      </c>
      <c r="K109" s="10">
        <f t="shared" si="8"/>
        <v>0</v>
      </c>
    </row>
    <row r="110" spans="1:11" x14ac:dyDescent="0.2">
      <c r="A110" s="102"/>
      <c r="B110" s="164" t="s">
        <v>156</v>
      </c>
      <c r="C110" s="5" t="e">
        <f>SUMIFS(Physician_Visit_June,Physician_Visit_Practice,June!B110,Physician_Visit_Hospitalists, "&lt;&gt;"&amp;'Physician Types'!$D$81)+SUMIFS(Physician_Visit_June,Physician_Visit_Practice,June!B110,Physician_Visit_Hospitalists,'Physician Types'!$D$81)*INDEX(Physician_Type_Hospitalists_Visit_Minutes,MATCH(June!B110,Physician_Type_Practice,0))/INDEX(Physician_Type_Visit_Minutes,MATCH(June!B110,Physician_Type_Practice,0)) +SUMIF(Physician_Minutes_Practice,June!B110,Physician_Minutes_June)/INDEX(Physician_Type_Visit_Minutes,MATCH(June!B110,Physician_Type_Practice,0))</f>
        <v>#REF!</v>
      </c>
      <c r="D110" s="43" t="e">
        <f t="shared" si="9"/>
        <v>#REF!</v>
      </c>
      <c r="E110" s="17" t="e">
        <f>INDEX(Physician_Type_Bed_Rate,MATCH(June!B110,Physician_Type_Practice,0))*'Hospital Input Page'!$C$4</f>
        <v>#REF!</v>
      </c>
      <c r="F110" s="9" t="e">
        <f t="shared" si="7"/>
        <v>#REF!</v>
      </c>
      <c r="H110" s="5" t="e">
        <f t="array" ref="H110">SUMIFS(Physician_Visit_June, Physician_Visit_Practice, June!B110, Independent_Contractor_Visits,  'Physician Types'!$D$81) + SUMIFS(Physician_Minutes_June,Physician_Minutes_Practice,June!B110, Independent_Contractor_Minutes, 'Physician Types'!$D$81)/INDEX(Physician_Type_Visit_Minutes,MATCH(June!B110,Physician_Type_Practice,0))</f>
        <v>#REF!</v>
      </c>
      <c r="I110" s="43" t="e">
        <f t="shared" si="10"/>
        <v>#REF!</v>
      </c>
      <c r="J110" s="10" t="e">
        <f>E110*'Physician Types'!$E$4</f>
        <v>#REF!</v>
      </c>
      <c r="K110" s="10" t="e">
        <f t="shared" si="8"/>
        <v>#REF!</v>
      </c>
    </row>
    <row r="111" spans="1:11" x14ac:dyDescent="0.2">
      <c r="A111" s="102"/>
      <c r="B111" s="164" t="s">
        <v>156</v>
      </c>
      <c r="C111" s="5" t="e">
        <f>SUMIFS(Physician_Visit_June,Physician_Visit_Practice,June!B111,Physician_Visit_Hospitalists, "&lt;&gt;"&amp;'Physician Types'!$D$81)+SUMIFS(Physician_Visit_June,Physician_Visit_Practice,June!B111,Physician_Visit_Hospitalists,'Physician Types'!$D$81)*INDEX(Physician_Type_Hospitalists_Visit_Minutes,MATCH(June!B111,Physician_Type_Practice,0))/INDEX(Physician_Type_Visit_Minutes,MATCH(June!B111,Physician_Type_Practice,0)) +SUMIF(Physician_Minutes_Practice,June!B111,Physician_Minutes_June)/INDEX(Physician_Type_Visit_Minutes,MATCH(June!B111,Physician_Type_Practice,0))</f>
        <v>#REF!</v>
      </c>
      <c r="D111" s="43" t="e">
        <f t="shared" ref="D111:D112" si="15">C111*INDEX(Physician_Type_Visit_Minutes,MATCH(B111,Physician_Type_Practice,0))/INDEX(Physician_Type_FTE_Minutes,MATCH(B111,Physician_Type_Practice,0))</f>
        <v>#REF!</v>
      </c>
      <c r="E111" s="17" t="e">
        <f>INDEX(Physician_Type_Bed_Rate,MATCH(June!B111,Physician_Type_Practice,0))*'Hospital Input Page'!$C$4</f>
        <v>#REF!</v>
      </c>
      <c r="F111" s="9" t="e">
        <f t="shared" si="7"/>
        <v>#REF!</v>
      </c>
      <c r="H111" s="5" t="e">
        <f t="array" ref="H111">SUMIFS(Physician_Visit_June, Physician_Visit_Practice, June!B111, Independent_Contractor_Visits,  'Physician Types'!$D$81) + SUMIFS(Physician_Minutes_June,Physician_Minutes_Practice,June!B111, Independent_Contractor_Minutes, 'Physician Types'!$D$81)/INDEX(Physician_Type_Visit_Minutes,MATCH(June!B111,Physician_Type_Practice,0))</f>
        <v>#REF!</v>
      </c>
      <c r="I111" s="43" t="e">
        <f t="shared" ref="I111:I112" si="16">H111*INDEX(Physician_Type_Visit_Minutes,MATCH(B111,Physician_Type_Practice,0))/INDEX(Physician_Type_FTE_Minutes,MATCH(B111,Physician_Type_Practice,0))</f>
        <v>#REF!</v>
      </c>
      <c r="J111" s="10" t="e">
        <f>E111*'Physician Types'!$E$4</f>
        <v>#REF!</v>
      </c>
      <c r="K111" s="10" t="e">
        <f t="shared" si="8"/>
        <v>#REF!</v>
      </c>
    </row>
    <row r="112" spans="1:11" x14ac:dyDescent="0.2">
      <c r="A112" s="102"/>
      <c r="B112" s="164" t="s">
        <v>156</v>
      </c>
      <c r="C112" s="5" t="e">
        <f>SUMIFS(Physician_Visit_June,Physician_Visit_Practice,June!B112,Physician_Visit_Hospitalists, "&lt;&gt;"&amp;'Physician Types'!$D$81)+SUMIFS(Physician_Visit_June,Physician_Visit_Practice,June!B112,Physician_Visit_Hospitalists,'Physician Types'!$D$81)*INDEX(Physician_Type_Hospitalists_Visit_Minutes,MATCH(June!B112,Physician_Type_Practice,0))/INDEX(Physician_Type_Visit_Minutes,MATCH(June!B112,Physician_Type_Practice,0)) +SUMIF(Physician_Minutes_Practice,June!B112,Physician_Minutes_June)/INDEX(Physician_Type_Visit_Minutes,MATCH(June!B112,Physician_Type_Practice,0))</f>
        <v>#REF!</v>
      </c>
      <c r="D112" s="43" t="e">
        <f t="shared" si="15"/>
        <v>#REF!</v>
      </c>
      <c r="E112" s="17" t="e">
        <f>INDEX(Physician_Type_Bed_Rate,MATCH(June!B112,Physician_Type_Practice,0))*'Hospital Input Page'!$C$4</f>
        <v>#REF!</v>
      </c>
      <c r="F112" s="9" t="e">
        <f t="shared" ref="F112" si="17">D112*E112</f>
        <v>#REF!</v>
      </c>
      <c r="H112" s="5" t="e">
        <f t="array" ref="H112">SUMIFS(Physician_Visit_June, Physician_Visit_Practice, June!B112, Independent_Contractor_Visits,  'Physician Types'!$D$81) + SUMIFS(Physician_Minutes_June,Physician_Minutes_Practice,June!B112, Independent_Contractor_Minutes, 'Physician Types'!$D$81)/INDEX(Physician_Type_Visit_Minutes,MATCH(June!B112,Physician_Type_Practice,0))</f>
        <v>#REF!</v>
      </c>
      <c r="I112" s="43" t="e">
        <f t="shared" si="16"/>
        <v>#REF!</v>
      </c>
      <c r="J112" s="10" t="e">
        <f>E112*'Physician Types'!$E$4</f>
        <v>#REF!</v>
      </c>
      <c r="K112" s="10" t="e">
        <f t="shared" ref="K112" si="18">I112*J112</f>
        <v>#REF!</v>
      </c>
    </row>
    <row r="113" spans="1:11" x14ac:dyDescent="0.2">
      <c r="A113" s="102"/>
      <c r="B113" s="164" t="s">
        <v>156</v>
      </c>
      <c r="C113" s="5" t="e">
        <f>SUMIFS(Physician_Visit_June,Physician_Visit_Practice,June!B113,Physician_Visit_Hospitalists, "&lt;&gt;"&amp;'Physician Types'!$D$81)+SUMIFS(Physician_Visit_June,Physician_Visit_Practice,June!B113,Physician_Visit_Hospitalists,'Physician Types'!$D$81)*INDEX(Physician_Type_Hospitalists_Visit_Minutes,MATCH(June!B113,Physician_Type_Practice,0))/INDEX(Physician_Type_Visit_Minutes,MATCH(June!B113,Physician_Type_Practice,0)) +SUMIF(Physician_Minutes_Practice,June!B113,Physician_Minutes_June)/INDEX(Physician_Type_Visit_Minutes,MATCH(June!B113,Physician_Type_Practice,0))</f>
        <v>#REF!</v>
      </c>
      <c r="D113" s="43" t="e">
        <f t="shared" ref="D113:D116" si="19">C113*INDEX(Physician_Type_Visit_Minutes,MATCH(B113,Physician_Type_Practice,0))/INDEX(Physician_Type_FTE_Minutes,MATCH(B113,Physician_Type_Practice,0))</f>
        <v>#REF!</v>
      </c>
      <c r="E113" s="17" t="e">
        <f>INDEX(Physician_Type_Bed_Rate,MATCH(June!B113,Physician_Type_Practice,0))*'Hospital Input Page'!$C$4</f>
        <v>#REF!</v>
      </c>
      <c r="F113" s="9" t="e">
        <f t="shared" ref="F113:F116" si="20">D113*E113</f>
        <v>#REF!</v>
      </c>
      <c r="H113" s="5" t="e">
        <f t="array" ref="H113">SUMIFS(Physician_Visit_June, Physician_Visit_Practice, June!B113, Independent_Contractor_Visits,  'Physician Types'!$D$81) + SUMIFS(Physician_Minutes_June,Physician_Minutes_Practice,June!B113, Independent_Contractor_Minutes, 'Physician Types'!$D$81)/INDEX(Physician_Type_Visit_Minutes,MATCH(June!B113,Physician_Type_Practice,0))</f>
        <v>#REF!</v>
      </c>
      <c r="I113" s="43" t="e">
        <f t="shared" ref="I113:I116" si="21">H113*INDEX(Physician_Type_Visit_Minutes,MATCH(B113,Physician_Type_Practice,0))/INDEX(Physician_Type_FTE_Minutes,MATCH(B113,Physician_Type_Practice,0))</f>
        <v>#REF!</v>
      </c>
      <c r="J113" s="10" t="e">
        <f>E113*'Physician Types'!$E$4</f>
        <v>#REF!</v>
      </c>
      <c r="K113" s="10" t="e">
        <f t="shared" ref="K113:K116" si="22">I113*J113</f>
        <v>#REF!</v>
      </c>
    </row>
    <row r="114" spans="1:11" x14ac:dyDescent="0.2">
      <c r="A114" s="102"/>
      <c r="B114" s="164" t="s">
        <v>156</v>
      </c>
      <c r="C114" s="5" t="e">
        <f>SUMIFS(Physician_Visit_June,Physician_Visit_Practice,June!B114,Physician_Visit_Hospitalists, "&lt;&gt;"&amp;'Physician Types'!$D$81)+SUMIFS(Physician_Visit_June,Physician_Visit_Practice,June!B114,Physician_Visit_Hospitalists,'Physician Types'!$D$81)*INDEX(Physician_Type_Hospitalists_Visit_Minutes,MATCH(June!B114,Physician_Type_Practice,0))/INDEX(Physician_Type_Visit_Minutes,MATCH(June!B114,Physician_Type_Practice,0)) +SUMIF(Physician_Minutes_Practice,June!B114,Physician_Minutes_June)/INDEX(Physician_Type_Visit_Minutes,MATCH(June!B114,Physician_Type_Practice,0))</f>
        <v>#REF!</v>
      </c>
      <c r="D114" s="43" t="e">
        <f t="shared" si="19"/>
        <v>#REF!</v>
      </c>
      <c r="E114" s="17" t="e">
        <f>INDEX(Physician_Type_Bed_Rate,MATCH(June!B114,Physician_Type_Practice,0))*'Hospital Input Page'!$C$4</f>
        <v>#REF!</v>
      </c>
      <c r="F114" s="9" t="e">
        <f t="shared" si="20"/>
        <v>#REF!</v>
      </c>
      <c r="H114" s="5" t="e">
        <f t="array" ref="H114">SUMIFS(Physician_Visit_June, Physician_Visit_Practice, June!B114, Independent_Contractor_Visits,  'Physician Types'!$D$81) + SUMIFS(Physician_Minutes_June,Physician_Minutes_Practice,June!B114, Independent_Contractor_Minutes, 'Physician Types'!$D$81)/INDEX(Physician_Type_Visit_Minutes,MATCH(June!B114,Physician_Type_Practice,0))</f>
        <v>#REF!</v>
      </c>
      <c r="I114" s="43" t="e">
        <f t="shared" si="21"/>
        <v>#REF!</v>
      </c>
      <c r="J114" s="10" t="e">
        <f>E114*'Physician Types'!$E$4</f>
        <v>#REF!</v>
      </c>
      <c r="K114" s="10" t="e">
        <f t="shared" si="22"/>
        <v>#REF!</v>
      </c>
    </row>
    <row r="115" spans="1:11" x14ac:dyDescent="0.2">
      <c r="A115" s="102"/>
      <c r="B115" s="164" t="s">
        <v>156</v>
      </c>
      <c r="C115" s="5" t="e">
        <f>SUMIFS(Physician_Visit_June,Physician_Visit_Practice,June!B115,Physician_Visit_Hospitalists, "&lt;&gt;"&amp;'Physician Types'!$D$81)+SUMIFS(Physician_Visit_June,Physician_Visit_Practice,June!B115,Physician_Visit_Hospitalists,'Physician Types'!$D$81)*INDEX(Physician_Type_Hospitalists_Visit_Minutes,MATCH(June!B115,Physician_Type_Practice,0))/INDEX(Physician_Type_Visit_Minutes,MATCH(June!B115,Physician_Type_Practice,0)) +SUMIF(Physician_Minutes_Practice,June!B115,Physician_Minutes_June)/INDEX(Physician_Type_Visit_Minutes,MATCH(June!B115,Physician_Type_Practice,0))</f>
        <v>#REF!</v>
      </c>
      <c r="D115" s="43" t="e">
        <f t="shared" si="19"/>
        <v>#REF!</v>
      </c>
      <c r="E115" s="17" t="e">
        <f>INDEX(Physician_Type_Bed_Rate,MATCH(June!B115,Physician_Type_Practice,0))*'Hospital Input Page'!$C$4</f>
        <v>#REF!</v>
      </c>
      <c r="F115" s="9" t="e">
        <f t="shared" si="20"/>
        <v>#REF!</v>
      </c>
      <c r="H115" s="5" t="e">
        <f t="array" ref="H115">SUMIFS(Physician_Visit_June, Physician_Visit_Practice, June!B115, Independent_Contractor_Visits,  'Physician Types'!$D$81) + SUMIFS(Physician_Minutes_June,Physician_Minutes_Practice,June!B115, Independent_Contractor_Minutes, 'Physician Types'!$D$81)/INDEX(Physician_Type_Visit_Minutes,MATCH(June!B115,Physician_Type_Practice,0))</f>
        <v>#REF!</v>
      </c>
      <c r="I115" s="43" t="e">
        <f t="shared" si="21"/>
        <v>#REF!</v>
      </c>
      <c r="J115" s="10" t="e">
        <f>E115*'Physician Types'!$E$4</f>
        <v>#REF!</v>
      </c>
      <c r="K115" s="10" t="e">
        <f t="shared" si="22"/>
        <v>#REF!</v>
      </c>
    </row>
    <row r="116" spans="1:11" x14ac:dyDescent="0.2">
      <c r="A116" s="102"/>
      <c r="B116" s="164" t="s">
        <v>156</v>
      </c>
      <c r="C116" s="5" t="e">
        <f>SUMIFS(Physician_Visit_June,Physician_Visit_Practice,June!B116,Physician_Visit_Hospitalists, "&lt;&gt;"&amp;'Physician Types'!$D$81)+SUMIFS(Physician_Visit_June,Physician_Visit_Practice,June!B116,Physician_Visit_Hospitalists,'Physician Types'!$D$81)*INDEX(Physician_Type_Hospitalists_Visit_Minutes,MATCH(June!B116,Physician_Type_Practice,0))/INDEX(Physician_Type_Visit_Minutes,MATCH(June!B116,Physician_Type_Practice,0)) +SUMIF(Physician_Minutes_Practice,June!B116,Physician_Minutes_June)/INDEX(Physician_Type_Visit_Minutes,MATCH(June!B116,Physician_Type_Practice,0))</f>
        <v>#REF!</v>
      </c>
      <c r="D116" s="43" t="e">
        <f t="shared" si="19"/>
        <v>#REF!</v>
      </c>
      <c r="E116" s="17" t="e">
        <f>INDEX(Physician_Type_Bed_Rate,MATCH(June!B116,Physician_Type_Practice,0))*'Hospital Input Page'!$C$4</f>
        <v>#REF!</v>
      </c>
      <c r="F116" s="9" t="e">
        <f t="shared" si="20"/>
        <v>#REF!</v>
      </c>
      <c r="H116" s="5" t="e">
        <f t="array" ref="H116">SUMIFS(Physician_Visit_June, Physician_Visit_Practice, June!B116, Independent_Contractor_Visits,  'Physician Types'!$D$81) + SUMIFS(Physician_Minutes_June,Physician_Minutes_Practice,June!B116, Independent_Contractor_Minutes, 'Physician Types'!$D$81)/INDEX(Physician_Type_Visit_Minutes,MATCH(June!B116,Physician_Type_Practice,0))</f>
        <v>#REF!</v>
      </c>
      <c r="I116" s="43" t="e">
        <f t="shared" si="21"/>
        <v>#REF!</v>
      </c>
      <c r="J116" s="10" t="e">
        <f>E116*'Physician Types'!$E$4</f>
        <v>#REF!</v>
      </c>
      <c r="K116" s="10" t="e">
        <f t="shared" si="22"/>
        <v>#REF!</v>
      </c>
    </row>
    <row r="117" spans="1:11" x14ac:dyDescent="0.2">
      <c r="A117" s="29"/>
      <c r="B117" s="31"/>
      <c r="C117" s="9"/>
      <c r="D117" s="9"/>
      <c r="E117" s="40"/>
      <c r="F117" s="9"/>
    </row>
    <row r="118" spans="1:11" x14ac:dyDescent="0.2">
      <c r="A118" s="29"/>
      <c r="C118" s="9"/>
    </row>
    <row r="119" spans="1:11" x14ac:dyDescent="0.2">
      <c r="B119" s="46" t="s">
        <v>106</v>
      </c>
      <c r="C119" s="149"/>
      <c r="D119" s="150"/>
      <c r="E119" s="151"/>
      <c r="F119" s="48">
        <f>SUMIF(F46:F116,"&lt;&gt;#REF!",F46:F116)</f>
        <v>2487.74543392748</v>
      </c>
      <c r="G119" s="46"/>
      <c r="H119" s="46"/>
      <c r="I119" s="46"/>
      <c r="J119" s="46"/>
      <c r="K119" s="48">
        <f>SUMIF(K46:K116,"&lt;&gt;#REF!",K46:K116)</f>
        <v>0</v>
      </c>
    </row>
    <row r="120" spans="1:11" x14ac:dyDescent="0.2">
      <c r="C120" s="5"/>
      <c r="D120" s="17"/>
      <c r="E120" s="28"/>
      <c r="F120" s="9"/>
    </row>
    <row r="121" spans="1:11" x14ac:dyDescent="0.2">
      <c r="C121" s="5"/>
      <c r="D121" s="17"/>
      <c r="E121" s="28"/>
      <c r="F121" s="9"/>
    </row>
    <row r="122" spans="1:11" x14ac:dyDescent="0.2">
      <c r="C122" s="5"/>
      <c r="D122" s="17"/>
      <c r="E122" s="28"/>
      <c r="F122" s="9"/>
    </row>
    <row r="123" spans="1:11" x14ac:dyDescent="0.2">
      <c r="C123" s="5"/>
      <c r="D123" s="17"/>
      <c r="E123" s="28"/>
      <c r="F123" s="9"/>
    </row>
    <row r="124" spans="1:11" x14ac:dyDescent="0.2">
      <c r="C124" s="9"/>
    </row>
    <row r="125" spans="1:11" x14ac:dyDescent="0.2">
      <c r="C125" s="9"/>
      <c r="D125" s="9"/>
      <c r="E125" s="40"/>
      <c r="F125" s="9"/>
    </row>
    <row r="126" spans="1:11" x14ac:dyDescent="0.2">
      <c r="C126" s="9"/>
    </row>
    <row r="127" spans="1:11" x14ac:dyDescent="0.2">
      <c r="C127" s="5"/>
      <c r="D127" s="17"/>
      <c r="E127" s="28"/>
      <c r="F127" s="9"/>
    </row>
    <row r="128" spans="1:11" x14ac:dyDescent="0.2">
      <c r="C128" s="5"/>
      <c r="D128" s="17"/>
      <c r="E128" s="28"/>
      <c r="F128" s="9"/>
    </row>
    <row r="129" spans="3:6" x14ac:dyDescent="0.2">
      <c r="C129" s="5"/>
      <c r="D129" s="17"/>
      <c r="E129" s="28"/>
      <c r="F129" s="9"/>
    </row>
    <row r="130" spans="3:6" x14ac:dyDescent="0.2">
      <c r="C130" s="9"/>
    </row>
    <row r="131" spans="3:6" x14ac:dyDescent="0.2">
      <c r="C131" s="9"/>
      <c r="F131" s="9"/>
    </row>
    <row r="133" spans="3:6" x14ac:dyDescent="0.2">
      <c r="C133" s="5"/>
    </row>
    <row r="135" spans="3:6" x14ac:dyDescent="0.2">
      <c r="C135" s="5"/>
    </row>
    <row r="136" spans="3:6" x14ac:dyDescent="0.2">
      <c r="C136" s="5"/>
    </row>
    <row r="137" spans="3:6" x14ac:dyDescent="0.2">
      <c r="C137" s="5"/>
    </row>
    <row r="139" spans="3:6" x14ac:dyDescent="0.2">
      <c r="C139" s="5"/>
    </row>
  </sheetData>
  <sheetProtection algorithmName="SHA-512" hashValue="2gls0YexIlxNp/rdB0FgakjZw6wIoMdXD4qHiIGZadI91D3Qzn2RABD6NZzgSrkxWtFtRJnpfyxQFfBQhfMf7A==" saltValue="TB/AtkTj9/vDied8NruW6g==" spinCount="100000" sheet="1" objects="1" scenarios="1"/>
  <customSheetViews>
    <customSheetView guid="{4B7E793F-FF7C-4BA4-8EC7-9B719AA3D607}">
      <selection activeCell="B7" sqref="B7:C7"/>
      <pageMargins left="0.5" right="0.5" top="0.5" bottom="0.5" header="0.5" footer="0.5"/>
      <printOptions gridLines="1"/>
      <pageSetup scale="97" fitToHeight="2" orientation="portrait" r:id="rId1"/>
      <headerFooter alignWithMargins="0"/>
    </customSheetView>
  </customSheetViews>
  <phoneticPr fontId="8" type="noConversion"/>
  <printOptions headings="1"/>
  <pageMargins left="0.5" right="0.5" top="0.5" bottom="0.5" header="0.5" footer="0.5"/>
  <pageSetup scale="94" fitToHeight="0" orientation="portrait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A1:K149"/>
  <sheetViews>
    <sheetView zoomScaleNormal="100" workbookViewId="0">
      <selection activeCell="B1" sqref="B1"/>
    </sheetView>
  </sheetViews>
  <sheetFormatPr defaultRowHeight="12.75" x14ac:dyDescent="0.2"/>
  <cols>
    <col min="1" max="1" width="3.7109375" customWidth="1"/>
    <col min="2" max="2" width="52.42578125" customWidth="1"/>
    <col min="3" max="3" width="11.7109375" customWidth="1"/>
    <col min="4" max="4" width="10.42578125" style="8" customWidth="1"/>
    <col min="5" max="5" width="8.5703125" style="6" customWidth="1"/>
    <col min="6" max="6" width="13.42578125" bestFit="1" customWidth="1"/>
    <col min="8" max="8" width="11.7109375" bestFit="1" customWidth="1"/>
    <col min="9" max="9" width="10.42578125" bestFit="1" customWidth="1"/>
    <col min="10" max="10" width="9.7109375" bestFit="1" customWidth="1"/>
  </cols>
  <sheetData>
    <row r="1" spans="1:11" ht="15.75" customHeight="1" x14ac:dyDescent="0.25">
      <c r="A1" s="18" t="str">
        <f>'Hospital Input Page'!A1</f>
        <v>Grover Dils</v>
      </c>
      <c r="B1" s="19"/>
      <c r="C1" s="18" t="s">
        <v>131</v>
      </c>
      <c r="D1" s="20"/>
      <c r="E1" s="167">
        <f>'Hospital Input Page'!L6</f>
        <v>2020</v>
      </c>
    </row>
    <row r="2" spans="1:11" ht="15.75" x14ac:dyDescent="0.25">
      <c r="A2" s="18" t="str">
        <f>'Hospital Input Page'!A2</f>
        <v>LiCON MONTHLY REPORT FORM (MRF)</v>
      </c>
      <c r="B2" s="19"/>
      <c r="C2" s="19"/>
      <c r="D2" s="20"/>
      <c r="E2" s="19"/>
    </row>
    <row r="3" spans="1:11" ht="15.75" customHeight="1" x14ac:dyDescent="0.25">
      <c r="A3" s="18" t="str">
        <f>'Hospital Input Page'!A3</f>
        <v>For the Year Ending June 30, 2020</v>
      </c>
      <c r="B3" s="21"/>
      <c r="D3" s="20"/>
      <c r="E3" s="22"/>
      <c r="F3" s="38"/>
    </row>
    <row r="5" spans="1:11" ht="15.75" x14ac:dyDescent="0.25">
      <c r="B5" s="21" t="s">
        <v>24</v>
      </c>
      <c r="C5" s="168">
        <f>F39</f>
        <v>0</v>
      </c>
      <c r="E5"/>
    </row>
    <row r="6" spans="1:11" x14ac:dyDescent="0.2">
      <c r="C6" s="2"/>
    </row>
    <row r="7" spans="1:11" x14ac:dyDescent="0.2">
      <c r="B7" s="58" t="str">
        <f>'Hospital Input Page'!$B$5</f>
        <v>Deductible</v>
      </c>
      <c r="C7" s="58">
        <f>'Hospital Input Page'!$C$5</f>
        <v>10000</v>
      </c>
    </row>
    <row r="8" spans="1:11" x14ac:dyDescent="0.2">
      <c r="B8" s="1"/>
      <c r="C8" s="3"/>
    </row>
    <row r="9" spans="1:11" ht="13.5" thickBot="1" x14ac:dyDescent="0.25">
      <c r="A9" s="4"/>
      <c r="B9" s="23" t="s">
        <v>0</v>
      </c>
      <c r="C9" s="23" t="s">
        <v>1</v>
      </c>
      <c r="D9" s="24" t="s">
        <v>27</v>
      </c>
      <c r="E9" s="25"/>
      <c r="F9" s="49" t="s">
        <v>111</v>
      </c>
      <c r="G9" s="73"/>
    </row>
    <row r="10" spans="1:11" x14ac:dyDescent="0.2">
      <c r="A10" s="29">
        <v>1</v>
      </c>
      <c r="B10" s="113" t="s">
        <v>2</v>
      </c>
      <c r="C10" s="5">
        <f>July!C10+August!C10+September!C10+October!C10+November!C10+December!C10+January!C10+February!C10+March!C10+April!C10+May!C10+June!C10</f>
        <v>7.8500000000000005</v>
      </c>
      <c r="D10" s="17">
        <f>INDEX('Hospital Input Page'!$D$9:$D$22,MATCH(July!B10,'Hospital Input Page'!$B$9:$B$22,0))</f>
        <v>527.69012023747894</v>
      </c>
      <c r="E10" s="28" t="s">
        <v>21</v>
      </c>
      <c r="F10" s="5">
        <f>July!F10+August!F10+September!F10+October!F10+November!F10+December!F10+January!F10+February!F10+March!F10+April!F10+May!F10+June!F10</f>
        <v>4142.3674438642101</v>
      </c>
      <c r="H10" s="5"/>
      <c r="I10" s="9"/>
      <c r="J10" s="9"/>
      <c r="K10" s="9"/>
    </row>
    <row r="11" spans="1:11" x14ac:dyDescent="0.2">
      <c r="A11" s="29">
        <f>A10+1</f>
        <v>2</v>
      </c>
      <c r="B11" s="118" t="s">
        <v>3</v>
      </c>
      <c r="C11" s="5">
        <f>July!C11+August!C11+September!C11+October!C11+November!C11+December!C11+January!C11+February!C11+March!C11+April!C11+May!C11+June!C11</f>
        <v>0</v>
      </c>
      <c r="D11" s="17">
        <f>INDEX('Hospital Input Page'!$D$9:$D$22,MATCH(July!B11,'Hospital Input Page'!$B$9:$B$22,0))</f>
        <v>527.69012023747894</v>
      </c>
      <c r="E11" s="28" t="s">
        <v>21</v>
      </c>
      <c r="F11" s="5">
        <f>July!F11+August!F11+September!F11+October!F11+November!F11+December!F11+January!F11+February!F11+March!F11+April!F11+May!F11+June!F11</f>
        <v>0</v>
      </c>
      <c r="H11" s="5"/>
      <c r="I11" s="9"/>
      <c r="J11" s="9"/>
      <c r="K11" s="9"/>
    </row>
    <row r="12" spans="1:11" x14ac:dyDescent="0.2">
      <c r="A12" s="29">
        <f t="shared" ref="A12:A35" si="0">A11+1</f>
        <v>3</v>
      </c>
      <c r="B12" s="118" t="s">
        <v>4</v>
      </c>
      <c r="C12" s="5">
        <f>July!C12+August!C12+September!C12+October!C12+November!C12+December!C12+January!C12+February!C12+March!C12+April!C12+May!C12+June!C12</f>
        <v>192.97</v>
      </c>
      <c r="D12" s="17">
        <f>INDEX('Hospital Input Page'!$D$9:$D$22,MATCH(July!B12,'Hospital Input Page'!$B$9:$B$22,0))</f>
        <v>63.322814428497473</v>
      </c>
      <c r="E12" s="28" t="s">
        <v>21</v>
      </c>
      <c r="F12" s="5">
        <f>July!F12+August!F12+September!F12+October!F12+November!F12+December!F12+January!F12+February!F12+March!F12+April!F12+May!F12+June!F12</f>
        <v>12219.403500267157</v>
      </c>
      <c r="H12" s="5"/>
      <c r="I12" s="9"/>
      <c r="J12" s="9"/>
      <c r="K12" s="9"/>
    </row>
    <row r="13" spans="1:11" x14ac:dyDescent="0.2">
      <c r="A13" s="29">
        <f t="shared" si="0"/>
        <v>4</v>
      </c>
      <c r="B13" s="118" t="s">
        <v>5</v>
      </c>
      <c r="C13" s="5">
        <f>July!C13+August!C13+September!C13+October!C13+November!C13+December!C13+January!C13+February!C13+March!C13+April!C13+May!C13+June!C13</f>
        <v>0</v>
      </c>
      <c r="D13" s="17">
        <f>INDEX('Hospital Input Page'!$D$9:$D$22,MATCH(July!B13,'Hospital Input Page'!$B$9:$B$22,0))</f>
        <v>369.38308416623522</v>
      </c>
      <c r="E13" s="28" t="s">
        <v>21</v>
      </c>
      <c r="F13" s="5">
        <f>July!F13+August!F13+September!F13+October!F13+November!F13+December!F13+January!F13+February!F13+March!F13+April!F13+May!F13+June!F13</f>
        <v>0</v>
      </c>
      <c r="H13" s="5"/>
      <c r="I13" s="9"/>
      <c r="J13" s="9"/>
      <c r="K13" s="9"/>
    </row>
    <row r="14" spans="1:11" ht="12.75" customHeight="1" x14ac:dyDescent="0.2">
      <c r="A14" s="29">
        <f t="shared" si="0"/>
        <v>5</v>
      </c>
      <c r="B14" s="118" t="s">
        <v>6</v>
      </c>
      <c r="C14" s="5">
        <f>July!C14+August!C14+September!C14+October!C14+November!C14+December!C14+January!C14+February!C14+March!C14+April!C14+May!C14+June!C14</f>
        <v>0</v>
      </c>
      <c r="D14" s="17">
        <f>INDEX('Hospital Input Page'!$D$9:$D$22,MATCH(July!B14,'Hospital Input Page'!$B$9:$B$22,0))</f>
        <v>237.988244227103</v>
      </c>
      <c r="E14" s="28" t="s">
        <v>21</v>
      </c>
      <c r="F14" s="5">
        <f>July!F14+August!F14+September!F14+October!F14+November!F14+December!F14+January!F14+February!F14+March!F14+April!F14+May!F14+June!F14</f>
        <v>0</v>
      </c>
      <c r="H14" s="5"/>
      <c r="I14" s="9"/>
      <c r="J14" s="9"/>
      <c r="K14" s="9"/>
    </row>
    <row r="15" spans="1:11" x14ac:dyDescent="0.2">
      <c r="A15" s="29">
        <f t="shared" si="0"/>
        <v>6</v>
      </c>
      <c r="B15" s="118" t="s">
        <v>7</v>
      </c>
      <c r="C15" s="5">
        <f>July!C15+August!C15+September!C15+October!C15+November!C15+December!C15+January!C15+February!C15+March!C15+April!C15+May!C15+June!C15</f>
        <v>0</v>
      </c>
      <c r="D15" s="17">
        <f>INDEX('Hospital Input Page'!$D$9:$D$22,MATCH(July!B15,'Hospital Input Page'!$B$9:$B$22,0))</f>
        <v>184.69154208311761</v>
      </c>
      <c r="E15" s="28" t="s">
        <v>21</v>
      </c>
      <c r="F15" s="5">
        <f>July!F15+August!F15+September!F15+October!F15+November!F15+December!F15+January!F15+February!F15+March!F15+April!F15+May!F15+June!F15</f>
        <v>0</v>
      </c>
      <c r="H15" s="5"/>
      <c r="I15" s="9"/>
      <c r="J15" s="9"/>
      <c r="K15" s="9"/>
    </row>
    <row r="16" spans="1:11" x14ac:dyDescent="0.2">
      <c r="A16" s="29">
        <f t="shared" si="0"/>
        <v>7</v>
      </c>
      <c r="B16" s="122" t="s">
        <v>114</v>
      </c>
      <c r="C16" s="5">
        <f>July!C16+August!C16+September!C16+October!C16+November!C16+December!C16+January!C16+February!C16+March!C16+April!C16+May!C16+June!C16</f>
        <v>944</v>
      </c>
      <c r="D16" s="17">
        <f>INDEX('Hospital Input Page'!$D$9:$D$22,MATCH(July!B16,'Hospital Input Page'!$B$9:$B$22,0))</f>
        <v>89.707320440371419</v>
      </c>
      <c r="E16" s="28" t="s">
        <v>22</v>
      </c>
      <c r="F16" s="5">
        <f>July!F16+August!F16+September!F16+October!F16+November!F16+December!F16+January!F16+February!F16+March!F16+April!F16+May!F16+June!F16</f>
        <v>846.83710495710625</v>
      </c>
      <c r="H16" s="5"/>
      <c r="I16" s="9"/>
      <c r="J16" s="9"/>
      <c r="K16" s="9"/>
    </row>
    <row r="17" spans="1:11" x14ac:dyDescent="0.2">
      <c r="A17" s="29">
        <f t="shared" si="0"/>
        <v>8</v>
      </c>
      <c r="B17" s="122" t="s">
        <v>115</v>
      </c>
      <c r="C17" s="5">
        <f>July!C17+August!C17+September!C17+October!C17+November!C17+December!C17+January!C17+February!C17+March!C17+April!C17+May!C17+June!C17</f>
        <v>14803</v>
      </c>
      <c r="D17" s="17">
        <f>INDEX('Hospital Input Page'!$D$9:$D$22,MATCH(July!B17,'Hospital Input Page'!$B$9:$B$22,0))</f>
        <v>21.107604809499158</v>
      </c>
      <c r="E17" s="28" t="s">
        <v>22</v>
      </c>
      <c r="F17" s="5">
        <f>July!F17+August!F17+September!F17+October!F17+November!F17+December!F17+January!F17+February!F17+March!F17+April!F17+May!F17+June!F17</f>
        <v>3124.5587399501605</v>
      </c>
      <c r="H17" s="5"/>
      <c r="I17" s="9"/>
      <c r="J17" s="9"/>
      <c r="K17" s="9"/>
    </row>
    <row r="18" spans="1:11" x14ac:dyDescent="0.2">
      <c r="A18" s="29">
        <f t="shared" si="0"/>
        <v>9</v>
      </c>
      <c r="B18" s="122" t="s">
        <v>116</v>
      </c>
      <c r="C18" s="5">
        <f>July!C18+August!C18+September!C18+October!C18+November!C18+December!C18+January!C18+February!C18+March!C18+April!C18+May!C18+June!C18</f>
        <v>0</v>
      </c>
      <c r="D18" s="17">
        <f>INDEX('Hospital Input Page'!$D$9:$D$22,MATCH(July!B18,'Hospital Input Page'!$B$9:$B$22,0))</f>
        <v>1.1609182645224538</v>
      </c>
      <c r="E18" s="28" t="s">
        <v>22</v>
      </c>
      <c r="F18" s="5">
        <f>July!F18+August!F18+September!F18+October!F18+November!F18+December!F18+January!F18+February!F18+March!F18+April!F18+May!F18+June!F18</f>
        <v>0</v>
      </c>
      <c r="H18" s="5"/>
      <c r="I18" s="9"/>
      <c r="J18" s="9"/>
      <c r="K18" s="9"/>
    </row>
    <row r="19" spans="1:11" x14ac:dyDescent="0.2">
      <c r="A19" s="29">
        <f t="shared" si="0"/>
        <v>10</v>
      </c>
      <c r="B19" s="118" t="s">
        <v>8</v>
      </c>
      <c r="C19" s="5">
        <f>July!C19+August!C19+September!C19+October!C19+November!C19+December!C19+January!C19+February!C19+March!C19+April!C19+May!C19+June!C19</f>
        <v>0</v>
      </c>
      <c r="D19" s="17">
        <f>INDEX('Hospital Input Page'!$D$9:$D$22,MATCH(July!B19,'Hospital Input Page'!$B$9:$B$22,0))</f>
        <v>26.384506011873949</v>
      </c>
      <c r="E19" s="28" t="s">
        <v>23</v>
      </c>
      <c r="F19" s="5">
        <f>July!F19+August!F19+September!F19+October!F19+November!F19+December!F19+January!F19+February!F19+March!F19+April!F19+May!F19+June!F19</f>
        <v>0</v>
      </c>
      <c r="H19" s="5"/>
      <c r="I19" s="9"/>
      <c r="J19" s="9"/>
      <c r="K19" s="9"/>
    </row>
    <row r="20" spans="1:11" x14ac:dyDescent="0.2">
      <c r="A20" s="29">
        <f t="shared" si="0"/>
        <v>11</v>
      </c>
      <c r="B20" s="118" t="s">
        <v>9</v>
      </c>
      <c r="C20" s="5">
        <f>July!C20+August!C20+September!C20+October!C20+November!C20+December!C20+January!C20+February!C20+March!C20+April!C20+May!C20+June!C20</f>
        <v>0</v>
      </c>
      <c r="D20" s="17">
        <f>INDEX('Hospital Input Page'!$D$9:$D$22,MATCH(July!B20,'Hospital Input Page'!$B$9:$B$22,0))</f>
        <v>10.553802404749579</v>
      </c>
      <c r="E20" s="28" t="s">
        <v>23</v>
      </c>
      <c r="F20" s="5">
        <f>July!F20+August!F20+September!F20+October!F20+November!F20+December!F20+January!F20+February!F20+March!F20+April!F20+May!F20+June!F20</f>
        <v>0</v>
      </c>
      <c r="H20" s="5"/>
      <c r="I20" s="9"/>
      <c r="J20" s="9"/>
      <c r="K20" s="9"/>
    </row>
    <row r="21" spans="1:11" x14ac:dyDescent="0.2">
      <c r="A21" s="29">
        <f t="shared" si="0"/>
        <v>12</v>
      </c>
      <c r="B21" s="118" t="s">
        <v>10</v>
      </c>
      <c r="C21" s="5">
        <f>July!C21+August!C21+September!C21+October!C21+November!C21+December!C21+January!C21+February!C21+March!C21+April!C21+May!C21+June!C21</f>
        <v>0</v>
      </c>
      <c r="D21" s="17">
        <f>INDEX('Hospital Input Page'!$D$9:$D$22,MATCH(July!B21,'Hospital Input Page'!$B$9:$B$22,0))</f>
        <v>79.153518035621843</v>
      </c>
      <c r="E21" s="28" t="s">
        <v>23</v>
      </c>
      <c r="F21" s="5">
        <f>July!F21+August!F21+September!F21+October!F21+November!F21+December!F21+January!F21+February!F21+March!F21+April!F21+May!F21+June!F21</f>
        <v>0</v>
      </c>
      <c r="H21" s="5"/>
      <c r="I21" s="9"/>
      <c r="J21" s="9"/>
      <c r="K21" s="9"/>
    </row>
    <row r="22" spans="1:11" x14ac:dyDescent="0.2">
      <c r="A22" s="29">
        <f t="shared" si="0"/>
        <v>13</v>
      </c>
      <c r="B22" s="118" t="s">
        <v>11</v>
      </c>
      <c r="C22" s="5">
        <f>July!C22+August!C22+September!C22+October!C22+November!C22+December!C22+January!C22+February!C22+March!C22+April!C22+May!C22+June!C22</f>
        <v>0</v>
      </c>
      <c r="D22" s="17">
        <f>INDEX('Hospital Input Page'!$D$9:$D$22,MATCH(July!B22,'Hospital Input Page'!$B$9:$B$22,0))</f>
        <v>79.153518035621843</v>
      </c>
      <c r="E22" s="28" t="s">
        <v>23</v>
      </c>
      <c r="F22" s="5">
        <f>July!F22+August!F22+September!F22+October!F22+November!F22+December!F22+January!F22+February!F22+March!F22+April!F22+May!F22+June!F22</f>
        <v>0</v>
      </c>
      <c r="H22" s="5"/>
      <c r="I22" s="9"/>
      <c r="J22" s="9"/>
      <c r="K22" s="9"/>
    </row>
    <row r="23" spans="1:11" x14ac:dyDescent="0.2">
      <c r="A23" s="29">
        <f t="shared" si="0"/>
        <v>14</v>
      </c>
      <c r="B23" s="122" t="s">
        <v>117</v>
      </c>
      <c r="C23" s="5">
        <f>July!C23+August!C23+September!C23+October!C23+November!C23+December!C23+January!C23+February!C23+March!C23+April!C23+May!C23+June!C23</f>
        <v>0</v>
      </c>
      <c r="D23" s="17">
        <f>INDEX('Hospital Input Page'!$D$9:$D$22,MATCH(July!B23,'Hospital Input Page'!$B$9:$B$22,0))</f>
        <v>341.38512486587695</v>
      </c>
      <c r="E23" s="28" t="s">
        <v>23</v>
      </c>
      <c r="F23" s="5">
        <f>July!F23+August!F23+September!F23+October!F23+November!F23+December!F23+January!F23+February!F23+March!F23+April!F23+May!F23+June!F23</f>
        <v>0</v>
      </c>
      <c r="H23" s="5"/>
      <c r="I23" s="9"/>
      <c r="J23" s="9"/>
      <c r="K23" s="9"/>
    </row>
    <row r="24" spans="1:11" x14ac:dyDescent="0.2">
      <c r="A24" s="29">
        <f t="shared" si="0"/>
        <v>15</v>
      </c>
      <c r="B24" s="74" t="s">
        <v>136</v>
      </c>
      <c r="C24" s="5">
        <f>July!C24+August!C24+September!C24+October!C24+November!C24+December!C24+January!C24+February!C24+March!C24+April!C24+May!C24+June!C24</f>
        <v>936</v>
      </c>
      <c r="D24" s="5">
        <f>IFERROR(F24/C24,0)*100</f>
        <v>1727.3438751538747</v>
      </c>
      <c r="E24" s="28" t="s">
        <v>22</v>
      </c>
      <c r="F24" s="5">
        <f>July!F24+August!F24+September!F24+October!F24+November!F24+December!F24+January!F24+February!F24+March!F24+April!F24+May!F24+June!F24</f>
        <v>16167.938671440268</v>
      </c>
      <c r="H24" s="5"/>
      <c r="I24" s="9"/>
      <c r="J24" s="9"/>
      <c r="K24" s="9"/>
    </row>
    <row r="25" spans="1:11" x14ac:dyDescent="0.2">
      <c r="A25" s="29">
        <f t="shared" si="0"/>
        <v>16</v>
      </c>
      <c r="B25" s="4" t="s">
        <v>12</v>
      </c>
      <c r="C25" s="5">
        <f>July!C25+August!C25+September!C25+October!C25+November!C25+December!C25+January!C25+February!C25+March!C25+April!C25+May!C25+June!C25</f>
        <v>0</v>
      </c>
      <c r="D25" s="5">
        <f t="shared" ref="D25" si="1">IFERROR(F25/C25,0)</f>
        <v>0</v>
      </c>
      <c r="E25" s="28" t="s">
        <v>23</v>
      </c>
      <c r="F25" s="5">
        <f>July!F25+August!F25+September!F25+October!F25+November!F25+December!F25+January!F25+February!F25+March!F25+April!F25+May!F25+June!F25</f>
        <v>0</v>
      </c>
      <c r="H25" s="5"/>
      <c r="I25" s="9"/>
      <c r="J25" s="9"/>
      <c r="K25" s="9"/>
    </row>
    <row r="26" spans="1:11" x14ac:dyDescent="0.2">
      <c r="A26" s="29">
        <f t="shared" si="0"/>
        <v>17</v>
      </c>
      <c r="B26" s="4" t="s">
        <v>13</v>
      </c>
      <c r="C26" s="75">
        <f>July!C26+August!C26+September!C26+October!C26+November!C26+December!C26+January!C26+February!C26+March!C26+April!C26+May!C26+June!C26</f>
        <v>0</v>
      </c>
      <c r="D26" s="5">
        <f>IFERROR(F26/C26,0)</f>
        <v>0</v>
      </c>
      <c r="E26" s="28" t="s">
        <v>23</v>
      </c>
      <c r="F26" s="5">
        <f>July!F26+August!F26+September!F26+October!F26+November!F26+December!F26+January!F26+February!F26+March!F26+April!F26+May!F26+June!F26</f>
        <v>0</v>
      </c>
      <c r="H26" s="5"/>
      <c r="I26" s="9"/>
      <c r="J26" s="9"/>
      <c r="K26" s="9"/>
    </row>
    <row r="27" spans="1:11" x14ac:dyDescent="0.2">
      <c r="A27" s="29">
        <f t="shared" si="0"/>
        <v>18</v>
      </c>
      <c r="B27" s="4" t="s">
        <v>14</v>
      </c>
      <c r="C27" s="75">
        <f>July!C27+August!C27+September!C27+October!C27+November!C27+December!C27+January!C27+February!C27+March!C27+April!C27+May!C27+June!C27</f>
        <v>5.30010192503702</v>
      </c>
      <c r="D27" s="5">
        <f t="shared" ref="D27:D35" si="2">IFERROR(F27/C27,0)</f>
        <v>1951.6566327971129</v>
      </c>
      <c r="E27" s="28" t="s">
        <v>23</v>
      </c>
      <c r="F27" s="5">
        <f>July!F27+August!F27+September!F27+October!F27+November!F27+December!F27+January!F27+February!F27+March!F27+April!F27+May!F27+June!F27</f>
        <v>10343.979076499247</v>
      </c>
      <c r="H27" s="5"/>
      <c r="I27" s="9"/>
      <c r="J27" s="9"/>
      <c r="K27" s="9"/>
    </row>
    <row r="28" spans="1:11" x14ac:dyDescent="0.2">
      <c r="A28" s="29">
        <f t="shared" si="0"/>
        <v>19</v>
      </c>
      <c r="B28" s="4" t="s">
        <v>15</v>
      </c>
      <c r="C28" s="75">
        <f>July!C28+August!C28+September!C28+October!C28+November!C28+December!C28+January!C28+February!C28+March!C28+April!C28+May!C28+June!C28</f>
        <v>0</v>
      </c>
      <c r="D28" s="5">
        <f t="shared" si="2"/>
        <v>0</v>
      </c>
      <c r="E28" s="28" t="s">
        <v>23</v>
      </c>
      <c r="F28" s="5">
        <f>July!F28+August!F28+September!F28+October!F28+November!F28+December!F28+January!F28+February!F28+March!F28+April!F28+May!F28+June!F28</f>
        <v>0</v>
      </c>
      <c r="H28" s="5"/>
      <c r="I28" s="9"/>
      <c r="J28" s="9"/>
      <c r="K28" s="9"/>
    </row>
    <row r="29" spans="1:11" x14ac:dyDescent="0.2">
      <c r="A29" s="29">
        <f t="shared" si="0"/>
        <v>20</v>
      </c>
      <c r="B29" s="4" t="s">
        <v>16</v>
      </c>
      <c r="C29" s="75">
        <f>July!C29+August!C29+September!C29+October!C29+November!C29+December!C29+January!C29+February!C29+March!C29+April!C29+May!C29+June!C29</f>
        <v>0</v>
      </c>
      <c r="D29" s="5">
        <f t="shared" si="2"/>
        <v>0</v>
      </c>
      <c r="E29" s="28" t="s">
        <v>23</v>
      </c>
      <c r="F29" s="5">
        <f>July!F29+August!F29+September!F29+October!F29+November!F29+December!F29+January!F29+February!F29+March!F29+April!F29+May!F29+June!F29</f>
        <v>0</v>
      </c>
      <c r="H29" s="5"/>
      <c r="I29" s="9"/>
      <c r="J29" s="9"/>
      <c r="K29" s="9"/>
    </row>
    <row r="30" spans="1:11" x14ac:dyDescent="0.2">
      <c r="A30" s="29">
        <f t="shared" si="0"/>
        <v>21</v>
      </c>
      <c r="B30" s="4" t="s">
        <v>17</v>
      </c>
      <c r="C30" s="75">
        <f>July!C30+August!C30+September!C30+October!C30+November!C30+December!C30+January!C30+February!C30+March!C30+April!C30+May!C30+June!C30</f>
        <v>0</v>
      </c>
      <c r="D30" s="5">
        <f t="shared" si="2"/>
        <v>0</v>
      </c>
      <c r="E30" s="28" t="s">
        <v>23</v>
      </c>
      <c r="F30" s="5">
        <f>July!F30+August!F30+September!F30+October!F30+November!F30+December!F30+January!F30+February!F30+March!F30+April!F30+May!F30+June!F30</f>
        <v>0</v>
      </c>
      <c r="H30" s="5"/>
      <c r="I30" s="9"/>
      <c r="J30" s="9"/>
      <c r="K30" s="9"/>
    </row>
    <row r="31" spans="1:11" x14ac:dyDescent="0.2">
      <c r="A31" s="29">
        <f t="shared" si="0"/>
        <v>22</v>
      </c>
      <c r="B31" s="4" t="s">
        <v>18</v>
      </c>
      <c r="C31" s="75">
        <f>July!C31+August!C31+September!C31+October!C31+November!C31+December!C31+January!C31+February!C31+March!C31+April!C31+May!C31+June!C31</f>
        <v>0</v>
      </c>
      <c r="D31" s="5">
        <f t="shared" si="2"/>
        <v>0</v>
      </c>
      <c r="E31" s="28" t="s">
        <v>23</v>
      </c>
      <c r="F31" s="5">
        <f>July!F31+August!F31+September!F31+October!F31+November!F31+December!F31+January!F31+February!F31+March!F31+April!F31+May!F31+June!F31</f>
        <v>0</v>
      </c>
      <c r="H31" s="5"/>
      <c r="I31" s="9"/>
      <c r="J31" s="9"/>
      <c r="K31" s="9"/>
    </row>
    <row r="32" spans="1:11" x14ac:dyDescent="0.2">
      <c r="A32" s="29">
        <f t="shared" si="0"/>
        <v>23</v>
      </c>
      <c r="B32" s="4" t="s">
        <v>19</v>
      </c>
      <c r="C32" s="75">
        <f>July!C32+August!C32+September!C32+October!C32+November!C32+December!C32+January!C32+February!C32+March!C32+April!C32+May!C32+June!C32</f>
        <v>0</v>
      </c>
      <c r="D32" s="5">
        <f t="shared" si="2"/>
        <v>0</v>
      </c>
      <c r="E32" s="28" t="s">
        <v>23</v>
      </c>
      <c r="F32" s="5">
        <f>July!F32+August!F32+September!F32+October!F32+November!F32+December!F32+January!F32+February!F32+March!F32+April!F32+May!F32+June!F32</f>
        <v>0</v>
      </c>
      <c r="H32" s="5"/>
      <c r="I32" s="9"/>
      <c r="J32" s="9"/>
      <c r="K32" s="9"/>
    </row>
    <row r="33" spans="1:11" x14ac:dyDescent="0.2">
      <c r="A33" s="29">
        <f t="shared" si="0"/>
        <v>24</v>
      </c>
      <c r="B33" t="s">
        <v>79</v>
      </c>
      <c r="C33" s="75">
        <f>July!C33+August!C33+September!C33+October!C33+November!C33+December!C33+January!C33+February!C33+March!C33+April!C33+May!C33+June!C33</f>
        <v>0</v>
      </c>
      <c r="D33" s="5">
        <f t="shared" si="2"/>
        <v>0</v>
      </c>
      <c r="E33" s="28" t="s">
        <v>23</v>
      </c>
      <c r="F33" s="5">
        <f>July!F33+August!F33+September!F33+October!F33+November!F33+December!F33+January!F33+February!F33+March!F33+April!F33+May!F33+June!F33</f>
        <v>0</v>
      </c>
      <c r="H33" s="5"/>
      <c r="I33" s="9"/>
      <c r="J33" s="9"/>
      <c r="K33" s="9"/>
    </row>
    <row r="34" spans="1:11" x14ac:dyDescent="0.2">
      <c r="A34" s="29">
        <f t="shared" si="0"/>
        <v>25</v>
      </c>
      <c r="B34" t="s">
        <v>20</v>
      </c>
      <c r="C34" s="5">
        <f>July!C34+August!C34+September!C34+October!C34+November!C34+December!C34+January!C34+February!C34+March!C34+April!C34+May!C34+June!C34</f>
        <v>10.69828265928191</v>
      </c>
      <c r="D34" s="5">
        <f t="shared" si="2"/>
        <v>493.76912809766947</v>
      </c>
      <c r="E34" s="28" t="s">
        <v>23</v>
      </c>
      <c r="F34" s="5">
        <f>July!F34+August!F34+September!F34+October!F34+November!F34+December!F34+January!F34+February!F34+March!F34+April!F34+May!F34+June!F34</f>
        <v>5282.4817008160453</v>
      </c>
      <c r="H34" s="5"/>
      <c r="I34" s="9"/>
      <c r="J34" s="9"/>
      <c r="K34" s="9"/>
    </row>
    <row r="35" spans="1:11" ht="13.5" thickBot="1" x14ac:dyDescent="0.25">
      <c r="A35" s="29">
        <f t="shared" si="0"/>
        <v>26</v>
      </c>
      <c r="B35" t="s">
        <v>80</v>
      </c>
      <c r="C35" s="5">
        <f>July!C35+August!C35+September!C35+October!C35+November!C35+December!C35+January!C35+February!C35+March!C35+April!C35+May!C35+June!C35</f>
        <v>0</v>
      </c>
      <c r="D35" s="5">
        <f t="shared" si="2"/>
        <v>0</v>
      </c>
      <c r="E35" s="28" t="s">
        <v>23</v>
      </c>
      <c r="F35" s="5">
        <f>July!F35+August!F35+September!F35+October!F35+November!F35+December!F35+January!F35+February!F35+March!F35+April!F35+May!F35+June!F35</f>
        <v>0</v>
      </c>
      <c r="H35" s="5"/>
      <c r="I35" s="9"/>
      <c r="J35" s="9"/>
      <c r="K35" s="9"/>
    </row>
    <row r="36" spans="1:11" x14ac:dyDescent="0.2">
      <c r="B36" s="4"/>
      <c r="C36" s="5"/>
      <c r="D36" s="17"/>
      <c r="E36" s="7"/>
      <c r="F36" s="27"/>
    </row>
    <row r="37" spans="1:11" ht="13.5" thickBot="1" x14ac:dyDescent="0.25">
      <c r="A37" s="31"/>
      <c r="B37" s="34" t="s">
        <v>84</v>
      </c>
      <c r="C37" s="37"/>
      <c r="D37" s="35"/>
      <c r="E37" s="36"/>
      <c r="F37" s="30">
        <f>SUM(F10:F36)</f>
        <v>52127.566237794192</v>
      </c>
      <c r="G37" s="16"/>
      <c r="H37" s="36"/>
    </row>
    <row r="38" spans="1:11" ht="13.5" thickTop="1" x14ac:dyDescent="0.2">
      <c r="A38" s="31"/>
      <c r="B38" s="31"/>
      <c r="C38" s="31"/>
      <c r="D38" s="31"/>
      <c r="F38" s="33"/>
      <c r="G38" s="10"/>
      <c r="H38" s="72"/>
    </row>
    <row r="39" spans="1:11" x14ac:dyDescent="0.2">
      <c r="A39" s="31"/>
      <c r="B39" s="31"/>
      <c r="C39" s="31"/>
      <c r="D39" s="31"/>
      <c r="F39" s="33"/>
      <c r="G39" s="10"/>
    </row>
    <row r="40" spans="1:11" x14ac:dyDescent="0.2">
      <c r="A40" s="31"/>
      <c r="B40" s="31"/>
      <c r="C40" s="37"/>
      <c r="D40" s="31"/>
      <c r="F40" s="33"/>
      <c r="G40" s="10"/>
    </row>
    <row r="41" spans="1:11" x14ac:dyDescent="0.2">
      <c r="A41" s="31"/>
      <c r="B41" s="31"/>
      <c r="C41" s="37"/>
      <c r="D41" s="31"/>
      <c r="F41" s="33"/>
      <c r="G41" s="10"/>
    </row>
    <row r="42" spans="1:11" x14ac:dyDescent="0.2">
      <c r="A42" s="31"/>
      <c r="B42" s="31"/>
      <c r="C42" s="37"/>
      <c r="D42" s="31"/>
      <c r="F42" s="33"/>
      <c r="G42" s="10"/>
    </row>
    <row r="43" spans="1:11" x14ac:dyDescent="0.2">
      <c r="A43" s="31"/>
      <c r="B43" s="31"/>
      <c r="C43" s="31"/>
      <c r="D43" s="31"/>
      <c r="F43" s="33"/>
      <c r="G43" s="13"/>
    </row>
    <row r="44" spans="1:11" x14ac:dyDescent="0.2">
      <c r="A44" s="31"/>
      <c r="B44" s="31"/>
      <c r="C44" s="31"/>
      <c r="D44" s="32"/>
      <c r="F44" s="33"/>
      <c r="G44" s="10"/>
    </row>
    <row r="45" spans="1:11" x14ac:dyDescent="0.2">
      <c r="A45" s="31"/>
      <c r="B45" s="31"/>
      <c r="C45" s="31"/>
      <c r="D45" s="32"/>
      <c r="F45" s="26"/>
      <c r="G45" s="10"/>
    </row>
    <row r="46" spans="1:11" x14ac:dyDescent="0.2">
      <c r="A46" s="31"/>
      <c r="B46" s="31"/>
      <c r="C46" s="31"/>
      <c r="D46" s="32"/>
      <c r="F46" s="36"/>
      <c r="G46" s="10"/>
    </row>
    <row r="47" spans="1:11" x14ac:dyDescent="0.2">
      <c r="F47" s="15"/>
      <c r="G47" s="10"/>
    </row>
    <row r="48" spans="1:11" x14ac:dyDescent="0.2">
      <c r="G48" s="10"/>
    </row>
    <row r="49" spans="7:7" x14ac:dyDescent="0.2">
      <c r="G49" s="10"/>
    </row>
    <row r="50" spans="7:7" x14ac:dyDescent="0.2">
      <c r="G50" s="10"/>
    </row>
    <row r="51" spans="7:7" x14ac:dyDescent="0.2">
      <c r="G51" s="10"/>
    </row>
    <row r="145" spans="3:7" x14ac:dyDescent="0.2">
      <c r="C145" s="5"/>
      <c r="G145" s="10"/>
    </row>
    <row r="146" spans="3:7" x14ac:dyDescent="0.2">
      <c r="C146" s="5"/>
      <c r="G146" s="10"/>
    </row>
    <row r="147" spans="3:7" x14ac:dyDescent="0.2">
      <c r="C147" s="5"/>
      <c r="G147" s="10"/>
    </row>
    <row r="148" spans="3:7" x14ac:dyDescent="0.2">
      <c r="G148" s="10"/>
    </row>
    <row r="149" spans="3:7" x14ac:dyDescent="0.2">
      <c r="C149" s="5"/>
      <c r="G149" s="10"/>
    </row>
  </sheetData>
  <sheetProtection algorithmName="SHA-512" hashValue="XkOJQkH2QOoXHAU7iUVfs9ejyl9IfitPows8Zd3j6E5QZ8mrDJ0XO6HWXb17zwbsyMeu6rbSYN4v1lEq/mpTwA==" saltValue="w+ilxi4TZFkIteDRwuw/Rg==" spinCount="100000" sheet="1" objects="1" scenarios="1"/>
  <customSheetViews>
    <customSheetView guid="{4B7E793F-FF7C-4BA4-8EC7-9B719AA3D607}" fitToPage="1" printArea="1">
      <selection activeCell="I18" sqref="I18"/>
      <pageMargins left="0.5" right="0.5" top="0.5" bottom="0.5" header="0.5" footer="0.5"/>
      <printOptions gridLines="1"/>
      <pageSetup scale="97" orientation="portrait" r:id="rId1"/>
      <headerFooter alignWithMargins="0"/>
    </customSheetView>
  </customSheetViews>
  <phoneticPr fontId="8" type="noConversion"/>
  <printOptions headings="1"/>
  <pageMargins left="0.5" right="0.5" top="0.5" bottom="0.5" header="0.5" footer="0.5"/>
  <pageSetup scale="97" orientation="portrait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rgb="FFC00000"/>
  </sheetPr>
  <dimension ref="A1:R23"/>
  <sheetViews>
    <sheetView workbookViewId="0">
      <pane xSplit="5" topLeftCell="I1" activePane="topRight" state="frozen"/>
      <selection activeCell="C10" sqref="C10"/>
      <selection pane="topRight" activeCell="Q17" sqref="Q17"/>
    </sheetView>
  </sheetViews>
  <sheetFormatPr defaultColWidth="8.85546875" defaultRowHeight="12.75" x14ac:dyDescent="0.2"/>
  <cols>
    <col min="1" max="1" width="8.85546875" style="102"/>
    <col min="2" max="2" width="54.5703125" style="107" customWidth="1"/>
    <col min="3" max="3" width="12.42578125" style="107" bestFit="1" customWidth="1"/>
    <col min="4" max="4" width="12.5703125" style="102" customWidth="1"/>
    <col min="5" max="5" width="8.85546875" style="102"/>
    <col min="6" max="6" width="13.140625" style="102" bestFit="1" customWidth="1"/>
    <col min="7" max="7" width="8.85546875" style="102"/>
    <col min="8" max="8" width="10.42578125" style="102" customWidth="1"/>
    <col min="9" max="9" width="8.85546875" style="102"/>
    <col min="10" max="11" width="10" style="102" customWidth="1"/>
    <col min="12" max="17" width="8.85546875" style="102"/>
    <col min="18" max="18" width="9.7109375" style="102" bestFit="1" customWidth="1"/>
    <col min="19" max="16384" width="8.85546875" style="102"/>
  </cols>
  <sheetData>
    <row r="1" spans="1:18" ht="15.75" customHeight="1" x14ac:dyDescent="0.25">
      <c r="A1" s="123" t="s">
        <v>160</v>
      </c>
      <c r="B1" s="124"/>
      <c r="C1" s="102"/>
      <c r="D1" s="170"/>
      <c r="E1" s="124"/>
    </row>
    <row r="2" spans="1:18" ht="15.75" x14ac:dyDescent="0.25">
      <c r="A2" s="123" t="s">
        <v>25</v>
      </c>
      <c r="B2" s="124"/>
      <c r="C2" s="102"/>
      <c r="D2" s="170"/>
      <c r="E2" s="124"/>
    </row>
    <row r="3" spans="1:18" ht="16.899999999999999" customHeight="1" thickBot="1" x14ac:dyDescent="0.35">
      <c r="A3" s="123" t="s">
        <v>182</v>
      </c>
      <c r="B3" s="171"/>
      <c r="C3" s="172"/>
      <c r="D3" s="170"/>
      <c r="E3" s="173"/>
      <c r="F3" s="174"/>
    </row>
    <row r="4" spans="1:18" ht="13.5" thickBot="1" x14ac:dyDescent="0.25">
      <c r="B4" s="125" t="s">
        <v>119</v>
      </c>
      <c r="C4" s="175">
        <v>527.69012023747894</v>
      </c>
      <c r="D4" s="108"/>
      <c r="E4" s="176"/>
    </row>
    <row r="5" spans="1:18" ht="13.5" thickBot="1" x14ac:dyDescent="0.25">
      <c r="B5" s="126" t="s">
        <v>83</v>
      </c>
      <c r="C5" s="177">
        <v>10000</v>
      </c>
      <c r="D5" s="178"/>
    </row>
    <row r="6" spans="1:18" x14ac:dyDescent="0.2">
      <c r="F6" s="100">
        <v>2019</v>
      </c>
      <c r="G6" s="101"/>
      <c r="H6" s="100"/>
      <c r="I6" s="100"/>
      <c r="J6" s="100"/>
      <c r="K6" s="100"/>
      <c r="L6" s="100">
        <f>F6+1</f>
        <v>2020</v>
      </c>
      <c r="M6" s="100"/>
      <c r="N6" s="101"/>
      <c r="O6" s="101"/>
      <c r="P6" s="101"/>
      <c r="Q6" s="101"/>
    </row>
    <row r="7" spans="1:18" ht="13.5" thickBot="1" x14ac:dyDescent="0.25">
      <c r="A7" s="108" t="s">
        <v>151</v>
      </c>
      <c r="F7" s="100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</row>
    <row r="8" spans="1:18" ht="26.25" thickBot="1" x14ac:dyDescent="0.25">
      <c r="A8" s="107"/>
      <c r="B8" s="109" t="s">
        <v>0</v>
      </c>
      <c r="C8" s="109" t="s">
        <v>113</v>
      </c>
      <c r="D8" s="110" t="s">
        <v>27</v>
      </c>
      <c r="E8" s="111" t="s">
        <v>112</v>
      </c>
      <c r="F8" s="103" t="s">
        <v>95</v>
      </c>
      <c r="G8" s="103" t="s">
        <v>96</v>
      </c>
      <c r="H8" s="103" t="s">
        <v>97</v>
      </c>
      <c r="I8" s="104" t="s">
        <v>98</v>
      </c>
      <c r="J8" s="104" t="s">
        <v>99</v>
      </c>
      <c r="K8" s="103" t="s">
        <v>107</v>
      </c>
      <c r="L8" s="104" t="s">
        <v>100</v>
      </c>
      <c r="M8" s="104" t="s">
        <v>101</v>
      </c>
      <c r="N8" s="104" t="s">
        <v>102</v>
      </c>
      <c r="O8" s="104" t="s">
        <v>103</v>
      </c>
      <c r="P8" s="104" t="s">
        <v>104</v>
      </c>
      <c r="Q8" s="104" t="s">
        <v>105</v>
      </c>
      <c r="R8" s="163" t="s">
        <v>106</v>
      </c>
    </row>
    <row r="9" spans="1:18" x14ac:dyDescent="0.2">
      <c r="A9" s="112">
        <v>1</v>
      </c>
      <c r="B9" s="113" t="s">
        <v>2</v>
      </c>
      <c r="C9" s="114">
        <f>'Hospital Relative Exp'!C9</f>
        <v>1</v>
      </c>
      <c r="D9" s="115">
        <f>C9*$C$4</f>
        <v>527.69012023747894</v>
      </c>
      <c r="E9" s="116" t="s">
        <v>21</v>
      </c>
      <c r="F9" s="94">
        <v>0.52</v>
      </c>
      <c r="G9" s="95">
        <v>0.17</v>
      </c>
      <c r="H9" s="95">
        <v>0.54</v>
      </c>
      <c r="I9" s="95">
        <v>0.52</v>
      </c>
      <c r="J9" s="95">
        <v>0.83</v>
      </c>
      <c r="K9" s="95">
        <v>0.68</v>
      </c>
      <c r="L9" s="95">
        <v>0.28999999999999998</v>
      </c>
      <c r="M9" s="95">
        <v>1.1100000000000001</v>
      </c>
      <c r="N9" s="95">
        <v>0.78</v>
      </c>
      <c r="O9" s="95">
        <v>0.84</v>
      </c>
      <c r="P9" s="95">
        <v>1.07</v>
      </c>
      <c r="Q9" s="95">
        <v>0.5</v>
      </c>
      <c r="R9" s="162">
        <f>SUM(F9:Q9)</f>
        <v>7.8500000000000005</v>
      </c>
    </row>
    <row r="10" spans="1:18" x14ac:dyDescent="0.2">
      <c r="A10" s="117">
        <f>A9+1</f>
        <v>2</v>
      </c>
      <c r="B10" s="118" t="s">
        <v>3</v>
      </c>
      <c r="C10" s="119">
        <f>'Hospital Relative Exp'!C10</f>
        <v>1</v>
      </c>
      <c r="D10" s="120">
        <f t="shared" ref="D10:D22" si="0">C10*$C$4</f>
        <v>527.69012023747894</v>
      </c>
      <c r="E10" s="121" t="s">
        <v>21</v>
      </c>
      <c r="F10" s="96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105">
        <f t="shared" ref="R10:R22" si="1">SUM(F10:Q10)</f>
        <v>0</v>
      </c>
    </row>
    <row r="11" spans="1:18" x14ac:dyDescent="0.2">
      <c r="A11" s="117">
        <f t="shared" ref="A11:A22" si="2">A10+1</f>
        <v>3</v>
      </c>
      <c r="B11" s="118" t="s">
        <v>4</v>
      </c>
      <c r="C11" s="119">
        <f>'Hospital Relative Exp'!C11</f>
        <v>0.12</v>
      </c>
      <c r="D11" s="120">
        <f t="shared" si="0"/>
        <v>63.322814428497473</v>
      </c>
      <c r="E11" s="121" t="s">
        <v>21</v>
      </c>
      <c r="F11" s="96">
        <v>15.67</v>
      </c>
      <c r="G11" s="97">
        <v>15.07</v>
      </c>
      <c r="H11" s="97">
        <v>15.67</v>
      </c>
      <c r="I11" s="97">
        <v>16.489999999999998</v>
      </c>
      <c r="J11" s="97">
        <v>17.399999999999999</v>
      </c>
      <c r="K11" s="97">
        <v>15.13</v>
      </c>
      <c r="L11" s="97">
        <v>17.75</v>
      </c>
      <c r="M11" s="97">
        <v>16.8</v>
      </c>
      <c r="N11" s="97">
        <v>18.29</v>
      </c>
      <c r="O11" s="97">
        <v>17.440000000000001</v>
      </c>
      <c r="P11" s="97">
        <v>14.42</v>
      </c>
      <c r="Q11" s="97">
        <v>12.84</v>
      </c>
      <c r="R11" s="105">
        <f t="shared" si="1"/>
        <v>192.97</v>
      </c>
    </row>
    <row r="12" spans="1:18" x14ac:dyDescent="0.2">
      <c r="A12" s="117">
        <f t="shared" si="2"/>
        <v>4</v>
      </c>
      <c r="B12" s="118" t="s">
        <v>5</v>
      </c>
      <c r="C12" s="119">
        <f>'Hospital Relative Exp'!C12</f>
        <v>0.7</v>
      </c>
      <c r="D12" s="120">
        <f t="shared" si="0"/>
        <v>369.38308416623522</v>
      </c>
      <c r="E12" s="121" t="s">
        <v>21</v>
      </c>
      <c r="F12" s="96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105">
        <f t="shared" si="1"/>
        <v>0</v>
      </c>
    </row>
    <row r="13" spans="1:18" x14ac:dyDescent="0.2">
      <c r="A13" s="117">
        <f t="shared" si="2"/>
        <v>5</v>
      </c>
      <c r="B13" s="118" t="s">
        <v>6</v>
      </c>
      <c r="C13" s="119">
        <f>'Hospital Relative Exp'!C13</f>
        <v>0.45100000000000001</v>
      </c>
      <c r="D13" s="120">
        <f t="shared" si="0"/>
        <v>237.988244227103</v>
      </c>
      <c r="E13" s="121" t="s">
        <v>21</v>
      </c>
      <c r="F13" s="96"/>
      <c r="G13" s="97"/>
      <c r="H13" s="97"/>
      <c r="I13" s="97"/>
      <c r="J13" s="97"/>
      <c r="K13" s="97"/>
      <c r="L13" s="97"/>
      <c r="M13" s="97"/>
      <c r="N13" s="97"/>
      <c r="O13" s="97"/>
      <c r="P13" s="97"/>
      <c r="Q13" s="97"/>
      <c r="R13" s="105">
        <f t="shared" si="1"/>
        <v>0</v>
      </c>
    </row>
    <row r="14" spans="1:18" x14ac:dyDescent="0.2">
      <c r="A14" s="117">
        <f t="shared" si="2"/>
        <v>6</v>
      </c>
      <c r="B14" s="118" t="s">
        <v>7</v>
      </c>
      <c r="C14" s="119">
        <f>'Hospital Relative Exp'!C14</f>
        <v>0.35</v>
      </c>
      <c r="D14" s="120">
        <f t="shared" si="0"/>
        <v>184.69154208311761</v>
      </c>
      <c r="E14" s="121" t="s">
        <v>21</v>
      </c>
      <c r="F14" s="96"/>
      <c r="G14" s="97"/>
      <c r="H14" s="97"/>
      <c r="I14" s="97"/>
      <c r="J14" s="97"/>
      <c r="K14" s="97"/>
      <c r="L14" s="97"/>
      <c r="M14" s="97"/>
      <c r="N14" s="97"/>
      <c r="O14" s="97"/>
      <c r="P14" s="97"/>
      <c r="Q14" s="97"/>
      <c r="R14" s="105">
        <f t="shared" si="1"/>
        <v>0</v>
      </c>
    </row>
    <row r="15" spans="1:18" x14ac:dyDescent="0.2">
      <c r="A15" s="117">
        <f t="shared" si="2"/>
        <v>7</v>
      </c>
      <c r="B15" s="122" t="s">
        <v>114</v>
      </c>
      <c r="C15" s="119">
        <f>'Hospital Relative Exp'!C15</f>
        <v>0.17</v>
      </c>
      <c r="D15" s="120">
        <f t="shared" si="0"/>
        <v>89.707320440371419</v>
      </c>
      <c r="E15" s="121" t="s">
        <v>22</v>
      </c>
      <c r="F15" s="96">
        <v>88</v>
      </c>
      <c r="G15" s="97">
        <v>89</v>
      </c>
      <c r="H15" s="97">
        <v>84</v>
      </c>
      <c r="I15" s="97">
        <v>82</v>
      </c>
      <c r="J15" s="97">
        <v>75</v>
      </c>
      <c r="K15" s="97">
        <v>71</v>
      </c>
      <c r="L15" s="97">
        <v>75</v>
      </c>
      <c r="M15" s="97">
        <v>80</v>
      </c>
      <c r="N15" s="97">
        <v>80</v>
      </c>
      <c r="O15" s="97">
        <v>57</v>
      </c>
      <c r="P15" s="97">
        <v>83</v>
      </c>
      <c r="Q15" s="97">
        <v>80</v>
      </c>
      <c r="R15" s="105">
        <f t="shared" si="1"/>
        <v>944</v>
      </c>
    </row>
    <row r="16" spans="1:18" x14ac:dyDescent="0.2">
      <c r="A16" s="117">
        <f t="shared" si="2"/>
        <v>8</v>
      </c>
      <c r="B16" s="122" t="s">
        <v>115</v>
      </c>
      <c r="C16" s="119">
        <f>'Hospital Relative Exp'!C16</f>
        <v>0.04</v>
      </c>
      <c r="D16" s="120">
        <f t="shared" si="0"/>
        <v>21.107604809499158</v>
      </c>
      <c r="E16" s="121" t="s">
        <v>22</v>
      </c>
      <c r="F16" s="96">
        <v>1246</v>
      </c>
      <c r="G16" s="97">
        <v>1357</v>
      </c>
      <c r="H16" s="97">
        <v>1195</v>
      </c>
      <c r="I16" s="97">
        <v>1483</v>
      </c>
      <c r="J16" s="97">
        <v>1133</v>
      </c>
      <c r="K16" s="97">
        <v>1270</v>
      </c>
      <c r="L16" s="97">
        <v>1473</v>
      </c>
      <c r="M16" s="97">
        <v>1280</v>
      </c>
      <c r="N16" s="97">
        <v>1237</v>
      </c>
      <c r="O16" s="97">
        <v>1102</v>
      </c>
      <c r="P16" s="97">
        <v>965</v>
      </c>
      <c r="Q16" s="97">
        <v>1062</v>
      </c>
      <c r="R16" s="105">
        <f t="shared" si="1"/>
        <v>14803</v>
      </c>
    </row>
    <row r="17" spans="1:18" x14ac:dyDescent="0.2">
      <c r="A17" s="117">
        <f t="shared" si="2"/>
        <v>9</v>
      </c>
      <c r="B17" s="122" t="s">
        <v>116</v>
      </c>
      <c r="C17" s="119">
        <f>'Hospital Relative Exp'!C17</f>
        <v>2.2000000000000001E-3</v>
      </c>
      <c r="D17" s="120">
        <f t="shared" si="0"/>
        <v>1.1609182645224538</v>
      </c>
      <c r="E17" s="121" t="s">
        <v>22</v>
      </c>
      <c r="F17" s="96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105">
        <f t="shared" si="1"/>
        <v>0</v>
      </c>
    </row>
    <row r="18" spans="1:18" x14ac:dyDescent="0.2">
      <c r="A18" s="117">
        <f t="shared" si="2"/>
        <v>10</v>
      </c>
      <c r="B18" s="118" t="s">
        <v>8</v>
      </c>
      <c r="C18" s="119">
        <f>'Hospital Relative Exp'!C18</f>
        <v>0.05</v>
      </c>
      <c r="D18" s="120">
        <f t="shared" si="0"/>
        <v>26.384506011873949</v>
      </c>
      <c r="E18" s="121" t="s">
        <v>23</v>
      </c>
      <c r="F18" s="96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105">
        <f t="shared" si="1"/>
        <v>0</v>
      </c>
    </row>
    <row r="19" spans="1:18" x14ac:dyDescent="0.2">
      <c r="A19" s="117">
        <f t="shared" si="2"/>
        <v>11</v>
      </c>
      <c r="B19" s="118" t="s">
        <v>9</v>
      </c>
      <c r="C19" s="119">
        <f>'Hospital Relative Exp'!C19</f>
        <v>0.02</v>
      </c>
      <c r="D19" s="120">
        <f t="shared" si="0"/>
        <v>10.553802404749579</v>
      </c>
      <c r="E19" s="121" t="s">
        <v>23</v>
      </c>
      <c r="F19" s="96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105">
        <f t="shared" si="1"/>
        <v>0</v>
      </c>
    </row>
    <row r="20" spans="1:18" x14ac:dyDescent="0.2">
      <c r="A20" s="117">
        <f t="shared" si="2"/>
        <v>12</v>
      </c>
      <c r="B20" s="118" t="s">
        <v>10</v>
      </c>
      <c r="C20" s="119">
        <f>'Hospital Relative Exp'!C20</f>
        <v>0.15</v>
      </c>
      <c r="D20" s="120">
        <f t="shared" si="0"/>
        <v>79.153518035621843</v>
      </c>
      <c r="E20" s="121" t="s">
        <v>23</v>
      </c>
      <c r="F20" s="96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105">
        <f t="shared" si="1"/>
        <v>0</v>
      </c>
    </row>
    <row r="21" spans="1:18" x14ac:dyDescent="0.2">
      <c r="A21" s="117">
        <f t="shared" si="2"/>
        <v>13</v>
      </c>
      <c r="B21" s="118" t="s">
        <v>11</v>
      </c>
      <c r="C21" s="119">
        <f>'Hospital Relative Exp'!C21</f>
        <v>0.15</v>
      </c>
      <c r="D21" s="120">
        <f t="shared" si="0"/>
        <v>79.153518035621843</v>
      </c>
      <c r="E21" s="121" t="s">
        <v>23</v>
      </c>
      <c r="F21" s="96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105">
        <f t="shared" si="1"/>
        <v>0</v>
      </c>
    </row>
    <row r="22" spans="1:18" ht="13.5" thickBot="1" x14ac:dyDescent="0.25">
      <c r="A22" s="117">
        <f t="shared" si="2"/>
        <v>14</v>
      </c>
      <c r="B22" s="145" t="s">
        <v>117</v>
      </c>
      <c r="C22" s="146">
        <f>'Hospital Relative Exp'!C22</f>
        <v>0.64694242278449665</v>
      </c>
      <c r="D22" s="147">
        <f t="shared" si="0"/>
        <v>341.38512486587695</v>
      </c>
      <c r="E22" s="148" t="s">
        <v>23</v>
      </c>
      <c r="F22" s="98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106">
        <f t="shared" si="1"/>
        <v>0</v>
      </c>
    </row>
    <row r="23" spans="1:18" x14ac:dyDescent="0.2">
      <c r="E23" s="179"/>
    </row>
  </sheetData>
  <sheetProtection algorithmName="SHA-512" hashValue="wkO1beyA+VC1Zxe0DpH4/Z2a5uEDlDYwX4Fdq23M5BLGwjYQlKE/tuSE4B07BJLA0su4762jjl8emhcSQFYSQw==" saltValue="ORKhdx2hGv5I78fcEcMXEg==" spinCount="100000" sheet="1" objects="1" scenarios="1"/>
  <customSheetViews>
    <customSheetView guid="{4B7E793F-FF7C-4BA4-8EC7-9B719AA3D607}">
      <pane xSplit="5" topLeftCell="F1" activePane="topRight" state="frozen"/>
      <selection pane="topRight" activeCell="F11" sqref="F11"/>
      <pageMargins left="0.7" right="0.7" top="0.75" bottom="0.75" header="0.3" footer="0.3"/>
      <pageSetup orientation="portrait" r:id="rId1"/>
    </customSheetView>
  </customSheetViews>
  <pageMargins left="0.7" right="0.7" top="0.75" bottom="0.75" header="0.3" footer="0.3"/>
  <pageSetup orientation="portrait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AK186"/>
  <sheetViews>
    <sheetView zoomScaleNormal="100" workbookViewId="0">
      <pane xSplit="7" topLeftCell="J1" activePane="topRight" state="frozen"/>
      <selection activeCell="C10" sqref="C10"/>
      <selection pane="topRight" activeCell="S34" sqref="S34"/>
    </sheetView>
  </sheetViews>
  <sheetFormatPr defaultColWidth="8.85546875" defaultRowHeight="12.75" x14ac:dyDescent="0.2"/>
  <cols>
    <col min="1" max="1" width="17.42578125" style="102" bestFit="1" customWidth="1"/>
    <col min="2" max="2" width="17.42578125" style="102" customWidth="1"/>
    <col min="3" max="3" width="29.5703125" style="102" customWidth="1"/>
    <col min="4" max="4" width="11.7109375" style="102" bestFit="1" customWidth="1"/>
    <col min="5" max="5" width="8.85546875" style="102"/>
    <col min="6" max="6" width="11.140625" style="102" customWidth="1"/>
    <col min="7" max="7" width="4.7109375" style="102" customWidth="1"/>
    <col min="8" max="9" width="8.85546875" style="102"/>
    <col min="10" max="10" width="11.7109375" style="102" customWidth="1"/>
    <col min="11" max="11" width="8.85546875" style="102"/>
    <col min="12" max="13" width="9.7109375" style="102" customWidth="1"/>
    <col min="14" max="37" width="8.85546875" style="102"/>
    <col min="38" max="16384" width="8.85546875" style="77"/>
  </cols>
  <sheetData>
    <row r="1" spans="1:37" s="102" customFormat="1" ht="15.75" x14ac:dyDescent="0.25">
      <c r="A1" s="123" t="str">
        <f>'Hospital Input Page'!A1</f>
        <v>Grover Dils</v>
      </c>
      <c r="B1" s="123"/>
      <c r="J1" s="123" t="s">
        <v>120</v>
      </c>
    </row>
    <row r="2" spans="1:37" s="102" customFormat="1" ht="15.75" x14ac:dyDescent="0.25">
      <c r="A2" s="123" t="str">
        <f>'Hospital Input Page'!A2</f>
        <v>LiCON MONTHLY REPORT FORM (MRF)</v>
      </c>
      <c r="B2" s="123"/>
      <c r="H2" s="108" t="s">
        <v>121</v>
      </c>
      <c r="N2" s="127" t="s">
        <v>123</v>
      </c>
    </row>
    <row r="3" spans="1:37" s="102" customFormat="1" ht="15.75" x14ac:dyDescent="0.25">
      <c r="A3" s="152" t="str">
        <f>'Hospital Input Page'!A3</f>
        <v>For the Year Ending June 30, 2020</v>
      </c>
      <c r="B3" s="152"/>
      <c r="H3" s="108" t="s">
        <v>122</v>
      </c>
      <c r="N3" s="127" t="s">
        <v>124</v>
      </c>
    </row>
    <row r="4" spans="1:37" s="102" customFormat="1" x14ac:dyDescent="0.2">
      <c r="D4" s="128" t="s">
        <v>133</v>
      </c>
    </row>
    <row r="5" spans="1:37" s="102" customFormat="1" ht="13.9" customHeight="1" x14ac:dyDescent="0.2">
      <c r="A5" s="128"/>
      <c r="B5" s="128"/>
      <c r="C5" s="129" t="s">
        <v>132</v>
      </c>
      <c r="D5" s="129"/>
      <c r="H5" s="108" t="s">
        <v>153</v>
      </c>
    </row>
    <row r="6" spans="1:37" s="102" customFormat="1" ht="13.9" customHeight="1" x14ac:dyDescent="0.2">
      <c r="A6" s="128"/>
      <c r="B6" s="128"/>
      <c r="C6" s="129"/>
      <c r="D6" s="129"/>
      <c r="H6" s="108"/>
    </row>
    <row r="7" spans="1:37" s="102" customFormat="1" x14ac:dyDescent="0.2">
      <c r="A7" s="108" t="s">
        <v>151</v>
      </c>
      <c r="B7" s="108"/>
      <c r="H7" s="100">
        <f>'Hospital Input Page'!F6</f>
        <v>2019</v>
      </c>
      <c r="I7" s="144"/>
      <c r="J7" s="100"/>
      <c r="K7" s="100"/>
      <c r="L7" s="100"/>
      <c r="M7" s="100"/>
      <c r="N7" s="100">
        <f>'Hospital Input Page'!L6</f>
        <v>2020</v>
      </c>
      <c r="O7" s="100"/>
      <c r="P7" s="100"/>
      <c r="Q7" s="100"/>
      <c r="R7" s="144"/>
      <c r="S7" s="144"/>
    </row>
    <row r="8" spans="1:37" s="102" customFormat="1" x14ac:dyDescent="0.2">
      <c r="A8" s="108"/>
      <c r="B8" s="108"/>
      <c r="H8" s="100" t="s">
        <v>157</v>
      </c>
      <c r="I8" s="144"/>
      <c r="J8" s="100"/>
      <c r="K8" s="100"/>
      <c r="L8" s="100"/>
      <c r="M8" s="100"/>
      <c r="N8" s="100"/>
      <c r="O8" s="100"/>
      <c r="P8" s="100"/>
      <c r="Q8" s="100"/>
      <c r="R8" s="144"/>
      <c r="S8" s="144"/>
    </row>
    <row r="9" spans="1:37" s="102" customFormat="1" ht="54.6" customHeight="1" thickBot="1" x14ac:dyDescent="0.25">
      <c r="A9" s="130" t="s">
        <v>158</v>
      </c>
      <c r="B9" s="130" t="s">
        <v>159</v>
      </c>
      <c r="C9" s="130" t="s">
        <v>93</v>
      </c>
      <c r="D9" s="109" t="s">
        <v>94</v>
      </c>
      <c r="E9" s="109" t="s">
        <v>108</v>
      </c>
      <c r="F9" s="109" t="s">
        <v>144</v>
      </c>
      <c r="G9" s="109"/>
      <c r="H9" s="109" t="s">
        <v>95</v>
      </c>
      <c r="I9" s="109" t="s">
        <v>96</v>
      </c>
      <c r="J9" s="109" t="s">
        <v>97</v>
      </c>
      <c r="K9" s="131" t="s">
        <v>98</v>
      </c>
      <c r="L9" s="131" t="s">
        <v>99</v>
      </c>
      <c r="M9" s="109" t="s">
        <v>107</v>
      </c>
      <c r="N9" s="131" t="s">
        <v>100</v>
      </c>
      <c r="O9" s="131" t="s">
        <v>101</v>
      </c>
      <c r="P9" s="131" t="s">
        <v>102</v>
      </c>
      <c r="Q9" s="131" t="s">
        <v>103</v>
      </c>
      <c r="R9" s="131" t="s">
        <v>104</v>
      </c>
      <c r="S9" s="131" t="s">
        <v>105</v>
      </c>
      <c r="T9" s="131" t="s">
        <v>106</v>
      </c>
      <c r="U9" s="180"/>
      <c r="V9" s="180"/>
      <c r="W9" s="180"/>
      <c r="X9" s="180"/>
      <c r="Y9" s="180"/>
      <c r="Z9" s="180"/>
      <c r="AA9" s="180"/>
      <c r="AB9" s="180"/>
      <c r="AC9" s="180"/>
      <c r="AD9" s="180"/>
      <c r="AE9" s="180"/>
      <c r="AF9" s="180"/>
      <c r="AG9" s="180"/>
      <c r="AH9" s="180"/>
      <c r="AI9" s="180"/>
      <c r="AJ9" s="180"/>
      <c r="AK9" s="180"/>
    </row>
    <row r="10" spans="1:37" s="102" customFormat="1" x14ac:dyDescent="0.2">
      <c r="A10" s="193" t="s">
        <v>161</v>
      </c>
      <c r="B10" s="79" t="s">
        <v>162</v>
      </c>
      <c r="C10" s="79" t="s">
        <v>20</v>
      </c>
      <c r="D10" s="78"/>
      <c r="E10" s="132">
        <f>INDEX('Physician Types'!$D$9:$D$72,MATCH('Physician Visits Input Page'!C10,'Physician Types'!$C$9:$C$72,0))*IF(D10="Yes",(1+'Physician Types'!$E$4),1)</f>
        <v>0.253</v>
      </c>
      <c r="F10" s="80"/>
      <c r="G10" s="79"/>
      <c r="H10" s="138">
        <v>200</v>
      </c>
      <c r="I10" s="78">
        <v>203</v>
      </c>
      <c r="J10" s="78">
        <v>93</v>
      </c>
      <c r="K10" s="78">
        <v>170</v>
      </c>
      <c r="L10" s="78">
        <v>145</v>
      </c>
      <c r="M10" s="78">
        <v>181</v>
      </c>
      <c r="N10" s="78">
        <v>218</v>
      </c>
      <c r="O10" s="78">
        <v>166</v>
      </c>
      <c r="P10" s="78">
        <v>189</v>
      </c>
      <c r="Q10" s="78">
        <v>169</v>
      </c>
      <c r="R10" s="78">
        <v>156</v>
      </c>
      <c r="S10" s="78">
        <v>162</v>
      </c>
      <c r="T10" s="135">
        <f>SUM(H10:S10)</f>
        <v>2052</v>
      </c>
      <c r="U10" s="180"/>
      <c r="V10" s="180"/>
      <c r="W10" s="182"/>
      <c r="X10" s="183"/>
      <c r="Y10" s="183"/>
      <c r="Z10" s="183"/>
      <c r="AA10" s="183"/>
      <c r="AB10" s="183"/>
      <c r="AC10" s="183"/>
      <c r="AD10" s="183"/>
      <c r="AE10" s="183"/>
      <c r="AF10" s="183"/>
      <c r="AG10" s="183"/>
      <c r="AH10" s="183"/>
      <c r="AI10" s="180"/>
      <c r="AJ10" s="180"/>
      <c r="AK10" s="180"/>
    </row>
    <row r="11" spans="1:37" s="102" customFormat="1" x14ac:dyDescent="0.2">
      <c r="A11" s="194" t="s">
        <v>161</v>
      </c>
      <c r="B11" s="82" t="s">
        <v>162</v>
      </c>
      <c r="C11" s="82" t="s">
        <v>136</v>
      </c>
      <c r="D11" s="81"/>
      <c r="E11" s="133">
        <f>INDEX('Physician Types'!$D$9:$D$72,MATCH('Physician Visits Input Page'!C11,'Physician Types'!$C$9:$C$72,0))*IF(D11="Yes",(1+'Physician Types'!$E$4),1)</f>
        <v>0.88500000000000001</v>
      </c>
      <c r="F11" s="83"/>
      <c r="G11" s="82"/>
      <c r="H11" s="139">
        <v>9</v>
      </c>
      <c r="I11" s="81">
        <v>19</v>
      </c>
      <c r="J11" s="81">
        <v>4</v>
      </c>
      <c r="K11" s="81">
        <v>21</v>
      </c>
      <c r="L11" s="81">
        <v>10</v>
      </c>
      <c r="M11" s="81">
        <v>8</v>
      </c>
      <c r="N11" s="81">
        <v>17</v>
      </c>
      <c r="O11" s="81">
        <v>19</v>
      </c>
      <c r="P11" s="81">
        <v>17</v>
      </c>
      <c r="Q11" s="81">
        <v>17</v>
      </c>
      <c r="R11" s="81">
        <v>25</v>
      </c>
      <c r="S11" s="81">
        <v>20</v>
      </c>
      <c r="T11" s="136">
        <f t="shared" ref="T11:T71" si="0">SUM(H11:S11)</f>
        <v>186</v>
      </c>
      <c r="U11" s="180"/>
      <c r="V11" s="180"/>
      <c r="W11" s="182"/>
      <c r="X11" s="183"/>
      <c r="Y11" s="183"/>
      <c r="Z11" s="183"/>
      <c r="AA11" s="183"/>
      <c r="AB11" s="183"/>
      <c r="AC11" s="183"/>
      <c r="AD11" s="183"/>
      <c r="AE11" s="183"/>
      <c r="AF11" s="183"/>
      <c r="AG11" s="183"/>
      <c r="AH11" s="183"/>
      <c r="AI11" s="180"/>
      <c r="AJ11" s="180"/>
      <c r="AK11" s="180"/>
    </row>
    <row r="12" spans="1:37" s="102" customFormat="1" x14ac:dyDescent="0.2">
      <c r="A12" s="195" t="s">
        <v>178</v>
      </c>
      <c r="B12" s="81" t="s">
        <v>179</v>
      </c>
      <c r="C12" s="81" t="s">
        <v>20</v>
      </c>
      <c r="D12" s="81"/>
      <c r="E12" s="133">
        <f>INDEX('Physician Types'!$D$9:$D$72,MATCH('Physician Visits Input Page'!C12,'Physician Types'!$C$9:$C$72,0))*IF(D12="Yes",(1+'Physician Types'!$E$4),1)</f>
        <v>0.253</v>
      </c>
      <c r="F12" s="83"/>
      <c r="G12" s="82"/>
      <c r="H12" s="139">
        <v>193</v>
      </c>
      <c r="I12" s="81">
        <v>194</v>
      </c>
      <c r="J12" s="81">
        <v>186</v>
      </c>
      <c r="K12" s="81">
        <v>181</v>
      </c>
      <c r="L12" s="81">
        <v>130</v>
      </c>
      <c r="M12" s="81">
        <v>188</v>
      </c>
      <c r="N12" s="81">
        <v>173</v>
      </c>
      <c r="O12" s="81">
        <v>176</v>
      </c>
      <c r="P12" s="81">
        <v>184</v>
      </c>
      <c r="Q12" s="81">
        <v>125</v>
      </c>
      <c r="R12" s="81">
        <v>108</v>
      </c>
      <c r="S12" s="81">
        <v>123</v>
      </c>
      <c r="T12" s="136">
        <f t="shared" si="0"/>
        <v>1961</v>
      </c>
      <c r="U12" s="180"/>
      <c r="V12" s="180"/>
      <c r="W12" s="182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0"/>
      <c r="AJ12" s="180"/>
      <c r="AK12" s="180"/>
    </row>
    <row r="13" spans="1:37" s="102" customFormat="1" x14ac:dyDescent="0.2">
      <c r="A13" s="195" t="s">
        <v>172</v>
      </c>
      <c r="B13" s="81" t="s">
        <v>173</v>
      </c>
      <c r="C13" s="81" t="s">
        <v>136</v>
      </c>
      <c r="D13" s="81" t="s">
        <v>167</v>
      </c>
      <c r="E13" s="133">
        <f>INDEX('Physician Types'!$D$9:$D$72,MATCH('Physician Visits Input Page'!C13,'Physician Types'!$C$9:$C$72,0))*IF(D13="Yes",(1+'Physician Types'!$E$4),1)</f>
        <v>0.91155000000000008</v>
      </c>
      <c r="F13" s="83"/>
      <c r="G13" s="84"/>
      <c r="H13" s="139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136">
        <f t="shared" si="0"/>
        <v>0</v>
      </c>
      <c r="U13" s="180"/>
      <c r="V13" s="184"/>
      <c r="W13" s="182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0"/>
      <c r="AJ13" s="180"/>
      <c r="AK13" s="180"/>
    </row>
    <row r="14" spans="1:37" s="102" customFormat="1" x14ac:dyDescent="0.2">
      <c r="A14" s="195" t="s">
        <v>174</v>
      </c>
      <c r="B14" s="81" t="s">
        <v>175</v>
      </c>
      <c r="C14" s="81" t="s">
        <v>155</v>
      </c>
      <c r="D14" s="81"/>
      <c r="E14" s="133">
        <f>INDEX('Physician Types'!$D$9:$D$72,MATCH('Physician Visits Input Page'!C14,'Physician Types'!$C$9:$C$72,0))*IF(D14="Yes",(1+'Physician Types'!$E$4),1)</f>
        <v>1</v>
      </c>
      <c r="F14" s="83"/>
      <c r="G14" s="84"/>
      <c r="H14" s="139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136">
        <f t="shared" si="0"/>
        <v>0</v>
      </c>
      <c r="U14" s="180"/>
      <c r="V14" s="184"/>
      <c r="W14" s="182"/>
      <c r="X14" s="183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0"/>
      <c r="AJ14" s="180"/>
      <c r="AK14" s="180"/>
    </row>
    <row r="15" spans="1:37" s="102" customFormat="1" x14ac:dyDescent="0.2">
      <c r="A15" s="195" t="s">
        <v>174</v>
      </c>
      <c r="B15" s="81" t="s">
        <v>175</v>
      </c>
      <c r="C15" s="81" t="s">
        <v>136</v>
      </c>
      <c r="D15" s="81"/>
      <c r="E15" s="133">
        <f>INDEX('Physician Types'!$D$9:$D$72,MATCH('Physician Visits Input Page'!C15,'Physician Types'!$C$9:$C$72,0))*IF(D15="Yes",(1+'Physician Types'!$E$4),1)</f>
        <v>0.88500000000000001</v>
      </c>
      <c r="F15" s="83"/>
      <c r="G15" s="84"/>
      <c r="H15" s="166">
        <v>20</v>
      </c>
      <c r="I15" s="82">
        <v>15</v>
      </c>
      <c r="J15" s="82">
        <v>0</v>
      </c>
      <c r="K15" s="82"/>
      <c r="L15" s="82"/>
      <c r="M15" s="82"/>
      <c r="N15" s="82"/>
      <c r="O15" s="82"/>
      <c r="P15" s="82"/>
      <c r="Q15" s="82"/>
      <c r="R15" s="82"/>
      <c r="S15" s="82"/>
      <c r="T15" s="136">
        <f t="shared" si="0"/>
        <v>35</v>
      </c>
      <c r="U15" s="183"/>
      <c r="V15" s="184"/>
      <c r="W15" s="185"/>
      <c r="X15" s="180"/>
      <c r="Y15" s="180"/>
      <c r="Z15" s="180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</row>
    <row r="16" spans="1:37" s="102" customFormat="1" x14ac:dyDescent="0.2">
      <c r="A16" s="195" t="s">
        <v>163</v>
      </c>
      <c r="B16" s="82" t="s">
        <v>164</v>
      </c>
      <c r="C16" s="82" t="s">
        <v>155</v>
      </c>
      <c r="D16" s="81"/>
      <c r="E16" s="133">
        <f>INDEX('Physician Types'!$D$9:$D$72,MATCH('Physician Visits Input Page'!C16,'Physician Types'!$C$9:$C$72,0))*IF(D16="Yes",(1+'Physician Types'!$E$4),1)</f>
        <v>1</v>
      </c>
      <c r="F16" s="83"/>
      <c r="G16" s="84"/>
      <c r="H16" s="139">
        <v>150</v>
      </c>
      <c r="I16" s="81">
        <v>119</v>
      </c>
      <c r="J16" s="81">
        <v>170</v>
      </c>
      <c r="K16" s="81">
        <v>182</v>
      </c>
      <c r="L16" s="81">
        <v>137</v>
      </c>
      <c r="M16" s="81">
        <v>175</v>
      </c>
      <c r="N16" s="81">
        <v>148</v>
      </c>
      <c r="O16" s="81">
        <v>134</v>
      </c>
      <c r="P16" s="81">
        <v>143</v>
      </c>
      <c r="Q16" s="81">
        <v>122</v>
      </c>
      <c r="R16" s="81">
        <v>96</v>
      </c>
      <c r="S16" s="81">
        <v>94</v>
      </c>
      <c r="T16" s="136">
        <f t="shared" si="0"/>
        <v>1670</v>
      </c>
      <c r="U16" s="180"/>
      <c r="V16" s="184"/>
      <c r="W16" s="182"/>
      <c r="X16" s="183"/>
      <c r="Y16" s="183"/>
      <c r="Z16" s="183"/>
      <c r="AA16" s="183"/>
      <c r="AB16" s="183"/>
      <c r="AC16" s="183"/>
      <c r="AD16" s="183"/>
      <c r="AE16" s="183"/>
      <c r="AF16" s="183"/>
      <c r="AG16" s="183"/>
      <c r="AH16" s="183"/>
      <c r="AI16" s="180"/>
      <c r="AJ16" s="180"/>
      <c r="AK16" s="180"/>
    </row>
    <row r="17" spans="1:37" s="102" customFormat="1" ht="16.899999999999999" customHeight="1" x14ac:dyDescent="0.2">
      <c r="A17" s="195" t="s">
        <v>163</v>
      </c>
      <c r="B17" s="81" t="s">
        <v>164</v>
      </c>
      <c r="C17" s="82" t="s">
        <v>136</v>
      </c>
      <c r="D17" s="81"/>
      <c r="E17" s="133">
        <f>INDEX('Physician Types'!$D$9:$D$72,MATCH('Physician Visits Input Page'!C17,'Physician Types'!$C$9:$C$72,0))*IF(D17="Yes",(1+'Physician Types'!$E$4),1)</f>
        <v>0.88500000000000001</v>
      </c>
      <c r="F17" s="83"/>
      <c r="G17" s="84"/>
      <c r="H17" s="139"/>
      <c r="I17" s="81">
        <v>5</v>
      </c>
      <c r="J17" s="81">
        <v>13</v>
      </c>
      <c r="K17" s="81">
        <v>2</v>
      </c>
      <c r="L17" s="81">
        <v>9</v>
      </c>
      <c r="M17" s="81">
        <v>6</v>
      </c>
      <c r="N17" s="81">
        <v>1</v>
      </c>
      <c r="O17" s="81">
        <v>0</v>
      </c>
      <c r="P17" s="81">
        <v>3</v>
      </c>
      <c r="Q17" s="81">
        <v>0</v>
      </c>
      <c r="R17" s="81">
        <v>1</v>
      </c>
      <c r="S17" s="81">
        <v>4</v>
      </c>
      <c r="T17" s="136">
        <f t="shared" si="0"/>
        <v>44</v>
      </c>
      <c r="U17" s="180"/>
      <c r="V17" s="184"/>
      <c r="W17" s="182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0"/>
      <c r="AJ17" s="180"/>
      <c r="AK17" s="180"/>
    </row>
    <row r="18" spans="1:37" s="102" customFormat="1" ht="16.899999999999999" customHeight="1" x14ac:dyDescent="0.2">
      <c r="A18" s="194" t="s">
        <v>165</v>
      </c>
      <c r="B18" s="82" t="s">
        <v>166</v>
      </c>
      <c r="C18" s="81" t="s">
        <v>155</v>
      </c>
      <c r="D18" s="81"/>
      <c r="E18" s="133">
        <f>INDEX('Physician Types'!$D$9:$D$72,MATCH('Physician Visits Input Page'!C18,'Physician Types'!$C$9:$C$72,0))*IF(D18="Yes",(1+'Physician Types'!$E$4),1)</f>
        <v>1</v>
      </c>
      <c r="F18" s="140"/>
      <c r="G18" s="84"/>
      <c r="H18" s="139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136">
        <f t="shared" si="0"/>
        <v>0</v>
      </c>
      <c r="U18" s="180"/>
      <c r="V18" s="184"/>
      <c r="W18" s="182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0"/>
      <c r="AJ18" s="180"/>
      <c r="AK18" s="180"/>
    </row>
    <row r="19" spans="1:37" s="102" customFormat="1" ht="16.899999999999999" customHeight="1" x14ac:dyDescent="0.2">
      <c r="A19" s="195" t="s">
        <v>165</v>
      </c>
      <c r="B19" s="81" t="s">
        <v>166</v>
      </c>
      <c r="C19" s="82" t="s">
        <v>136</v>
      </c>
      <c r="D19" s="81"/>
      <c r="E19" s="133">
        <f>INDEX('Physician Types'!$D$9:$D$72,MATCH('Physician Visits Input Page'!C19,'Physician Types'!$C$9:$C$72,0))*IF(D19="Yes",(1+'Physician Types'!$E$4),1)</f>
        <v>0.88500000000000001</v>
      </c>
      <c r="F19" s="140"/>
      <c r="G19" s="84"/>
      <c r="H19" s="139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136">
        <f t="shared" si="0"/>
        <v>0</v>
      </c>
      <c r="U19" s="180"/>
      <c r="V19" s="184"/>
      <c r="W19" s="182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0"/>
      <c r="AJ19" s="180"/>
      <c r="AK19" s="180"/>
    </row>
    <row r="20" spans="1:37" s="102" customFormat="1" ht="16.899999999999999" customHeight="1" x14ac:dyDescent="0.2">
      <c r="A20" s="194" t="s">
        <v>168</v>
      </c>
      <c r="B20" s="82" t="s">
        <v>169</v>
      </c>
      <c r="C20" s="81" t="s">
        <v>155</v>
      </c>
      <c r="D20" s="81"/>
      <c r="E20" s="133">
        <f>INDEX('Physician Types'!$D$9:$D$72,MATCH('Physician Visits Input Page'!C20,'Physician Types'!$C$9:$C$72,0))*IF(D20="Yes",(1+'Physician Types'!$E$4),1)</f>
        <v>1</v>
      </c>
      <c r="F20" s="83"/>
      <c r="G20" s="84"/>
      <c r="H20" s="139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136">
        <f t="shared" si="0"/>
        <v>0</v>
      </c>
      <c r="U20" s="180"/>
      <c r="V20" s="184"/>
      <c r="W20" s="182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0"/>
      <c r="AJ20" s="180"/>
      <c r="AK20" s="180"/>
    </row>
    <row r="21" spans="1:37" s="102" customFormat="1" ht="16.899999999999999" customHeight="1" x14ac:dyDescent="0.2">
      <c r="A21" s="194" t="s">
        <v>168</v>
      </c>
      <c r="B21" s="82" t="s">
        <v>169</v>
      </c>
      <c r="C21" s="82" t="s">
        <v>136</v>
      </c>
      <c r="D21" s="81"/>
      <c r="E21" s="133">
        <f>INDEX('Physician Types'!$D$9:$D$72,MATCH('Physician Visits Input Page'!C21,'Physician Types'!$C$9:$C$72,0))*IF(D21="Yes",(1+'Physician Types'!$E$4),1)</f>
        <v>0.88500000000000001</v>
      </c>
      <c r="F21" s="140"/>
      <c r="G21" s="84"/>
      <c r="H21" s="139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136">
        <f t="shared" si="0"/>
        <v>0</v>
      </c>
      <c r="U21" s="180"/>
      <c r="V21" s="184"/>
      <c r="W21" s="182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0"/>
      <c r="AJ21" s="180"/>
      <c r="AK21" s="180"/>
    </row>
    <row r="22" spans="1:37" s="102" customFormat="1" ht="16.899999999999999" customHeight="1" x14ac:dyDescent="0.2">
      <c r="A22" s="195" t="s">
        <v>176</v>
      </c>
      <c r="B22" s="81" t="s">
        <v>177</v>
      </c>
      <c r="C22" s="81" t="s">
        <v>20</v>
      </c>
      <c r="D22" s="81"/>
      <c r="E22" s="133">
        <f>INDEX('Physician Types'!$D$9:$D$72,MATCH('Physician Visits Input Page'!C22,'Physician Types'!$C$9:$C$72,0))*IF(D22="Yes",(1+'Physician Types'!$E$4),1)</f>
        <v>0.253</v>
      </c>
      <c r="F22" s="140"/>
      <c r="G22" s="84"/>
      <c r="H22" s="139">
        <v>126</v>
      </c>
      <c r="I22" s="81">
        <v>157</v>
      </c>
      <c r="J22" s="81">
        <v>136</v>
      </c>
      <c r="K22" s="81">
        <v>152</v>
      </c>
      <c r="L22" s="81">
        <v>123</v>
      </c>
      <c r="M22" s="81">
        <v>141</v>
      </c>
      <c r="N22" s="81">
        <v>177</v>
      </c>
      <c r="O22" s="81">
        <v>129</v>
      </c>
      <c r="P22" s="81">
        <v>136</v>
      </c>
      <c r="Q22" s="81">
        <v>82</v>
      </c>
      <c r="R22" s="81">
        <v>86</v>
      </c>
      <c r="S22" s="81">
        <v>105</v>
      </c>
      <c r="T22" s="136">
        <f t="shared" si="0"/>
        <v>1550</v>
      </c>
      <c r="U22" s="180"/>
      <c r="V22" s="184"/>
      <c r="W22" s="182"/>
      <c r="X22" s="183"/>
      <c r="Y22" s="183"/>
      <c r="Z22" s="183"/>
      <c r="AA22" s="183"/>
      <c r="AB22" s="183"/>
      <c r="AC22" s="183"/>
      <c r="AD22" s="183"/>
      <c r="AE22" s="183"/>
      <c r="AF22" s="183"/>
      <c r="AG22" s="183"/>
      <c r="AH22" s="183"/>
      <c r="AI22" s="180"/>
      <c r="AJ22" s="180"/>
      <c r="AK22" s="180"/>
    </row>
    <row r="23" spans="1:37" s="102" customFormat="1" ht="16.899999999999999" customHeight="1" x14ac:dyDescent="0.2">
      <c r="A23" s="195" t="s">
        <v>176</v>
      </c>
      <c r="B23" s="81" t="s">
        <v>177</v>
      </c>
      <c r="C23" s="81" t="s">
        <v>136</v>
      </c>
      <c r="D23" s="81"/>
      <c r="E23" s="133">
        <f>INDEX('Physician Types'!$D$9:$D$72,MATCH('Physician Visits Input Page'!C23,'Physician Types'!$C$9:$C$72,0))*IF(D23="Yes",(1+'Physician Types'!$E$4),1)</f>
        <v>0.88500000000000001</v>
      </c>
      <c r="F23" s="83"/>
      <c r="G23" s="84"/>
      <c r="H23" s="139">
        <v>4</v>
      </c>
      <c r="I23" s="81">
        <v>0</v>
      </c>
      <c r="J23" s="81">
        <v>0</v>
      </c>
      <c r="K23" s="81">
        <v>0</v>
      </c>
      <c r="L23" s="81">
        <v>0</v>
      </c>
      <c r="M23" s="81">
        <v>0</v>
      </c>
      <c r="N23" s="81">
        <v>0</v>
      </c>
      <c r="O23" s="81">
        <v>0</v>
      </c>
      <c r="P23" s="81">
        <v>0</v>
      </c>
      <c r="Q23" s="81">
        <v>0</v>
      </c>
      <c r="R23" s="81">
        <v>0</v>
      </c>
      <c r="S23" s="81">
        <v>0</v>
      </c>
      <c r="T23" s="136">
        <f t="shared" si="0"/>
        <v>4</v>
      </c>
      <c r="U23" s="180"/>
      <c r="V23" s="184"/>
      <c r="W23" s="182"/>
      <c r="X23" s="183"/>
      <c r="Y23" s="183"/>
      <c r="Z23" s="183"/>
      <c r="AA23" s="183"/>
      <c r="AB23" s="183"/>
      <c r="AC23" s="183"/>
      <c r="AD23" s="183"/>
      <c r="AE23" s="183"/>
      <c r="AF23" s="183"/>
      <c r="AG23" s="183"/>
      <c r="AH23" s="183"/>
      <c r="AI23" s="180"/>
      <c r="AJ23" s="180"/>
      <c r="AK23" s="180"/>
    </row>
    <row r="24" spans="1:37" s="102" customFormat="1" ht="16.899999999999999" customHeight="1" x14ac:dyDescent="0.2">
      <c r="A24" s="194" t="s">
        <v>170</v>
      </c>
      <c r="B24" s="82" t="s">
        <v>171</v>
      </c>
      <c r="C24" s="82" t="s">
        <v>20</v>
      </c>
      <c r="D24" s="81" t="s">
        <v>167</v>
      </c>
      <c r="E24" s="133">
        <f>INDEX('Physician Types'!$D$9:$D$72,MATCH('Physician Visits Input Page'!C24,'Physician Types'!$C$9:$C$72,0))*IF(D24="Yes",(1+'Physician Types'!$E$4),1)</f>
        <v>0.26058999999999999</v>
      </c>
      <c r="F24" s="83"/>
      <c r="G24" s="84"/>
      <c r="H24" s="166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136">
        <f t="shared" si="0"/>
        <v>0</v>
      </c>
      <c r="U24" s="183"/>
      <c r="V24" s="184"/>
      <c r="W24" s="185"/>
      <c r="X24" s="180"/>
      <c r="Y24" s="180"/>
      <c r="Z24" s="180"/>
      <c r="AA24" s="180"/>
      <c r="AB24" s="180"/>
      <c r="AC24" s="180"/>
      <c r="AD24" s="180"/>
      <c r="AE24" s="180"/>
      <c r="AF24" s="180"/>
      <c r="AG24" s="180"/>
      <c r="AH24" s="180"/>
      <c r="AI24" s="180"/>
      <c r="AJ24" s="180"/>
      <c r="AK24" s="180"/>
    </row>
    <row r="25" spans="1:37" s="102" customFormat="1" ht="16.899999999999999" customHeight="1" x14ac:dyDescent="0.2">
      <c r="A25" s="194" t="s">
        <v>170</v>
      </c>
      <c r="B25" s="82" t="s">
        <v>171</v>
      </c>
      <c r="C25" s="82" t="s">
        <v>136</v>
      </c>
      <c r="D25" s="81" t="s">
        <v>167</v>
      </c>
      <c r="E25" s="133">
        <f>INDEX('Physician Types'!$D$9:$D$72,MATCH('Physician Visits Input Page'!C25,'Physician Types'!$C$9:$C$72,0))*IF(D25="Yes",(1+'Physician Types'!$E$4),1)</f>
        <v>0.91155000000000008</v>
      </c>
      <c r="F25" s="83"/>
      <c r="G25" s="84"/>
      <c r="H25" s="139">
        <v>3</v>
      </c>
      <c r="I25" s="81"/>
      <c r="J25" s="81">
        <v>6</v>
      </c>
      <c r="K25" s="81">
        <v>2</v>
      </c>
      <c r="L25" s="81">
        <v>2</v>
      </c>
      <c r="M25" s="81">
        <v>1</v>
      </c>
      <c r="N25" s="81">
        <v>2</v>
      </c>
      <c r="O25" s="81">
        <v>0</v>
      </c>
      <c r="P25" s="81">
        <v>0</v>
      </c>
      <c r="Q25" s="81">
        <v>0</v>
      </c>
      <c r="R25" s="81">
        <v>0</v>
      </c>
      <c r="S25" s="81">
        <v>0</v>
      </c>
      <c r="T25" s="136">
        <f t="shared" si="0"/>
        <v>16</v>
      </c>
      <c r="U25" s="180"/>
      <c r="V25" s="184"/>
      <c r="W25" s="182"/>
      <c r="X25" s="183"/>
      <c r="Y25" s="183"/>
      <c r="Z25" s="183"/>
      <c r="AA25" s="183"/>
      <c r="AB25" s="183"/>
      <c r="AC25" s="183"/>
      <c r="AD25" s="183"/>
      <c r="AE25" s="183"/>
      <c r="AF25" s="183"/>
      <c r="AG25" s="183"/>
      <c r="AH25" s="183"/>
      <c r="AI25" s="180"/>
      <c r="AJ25" s="180"/>
      <c r="AK25" s="180"/>
    </row>
    <row r="26" spans="1:37" s="102" customFormat="1" ht="16.899999999999999" customHeight="1" x14ac:dyDescent="0.2">
      <c r="A26" s="195" t="s">
        <v>178</v>
      </c>
      <c r="B26" s="81" t="s">
        <v>179</v>
      </c>
      <c r="C26" s="81" t="s">
        <v>136</v>
      </c>
      <c r="D26" s="81"/>
      <c r="E26" s="133">
        <f>INDEX('Physician Types'!$D$9:$D$72,MATCH('Physician Visits Input Page'!C26,'Physician Types'!$C$9:$C$72,0))*IF(D26="Yes",(1+'Physician Types'!$E$4),1)</f>
        <v>0.88500000000000001</v>
      </c>
      <c r="F26" s="83"/>
      <c r="G26" s="84"/>
      <c r="H26" s="139">
        <v>16</v>
      </c>
      <c r="I26" s="81">
        <v>13</v>
      </c>
      <c r="J26" s="81">
        <v>24</v>
      </c>
      <c r="K26" s="81">
        <v>14</v>
      </c>
      <c r="L26" s="81">
        <v>17</v>
      </c>
      <c r="M26" s="81">
        <v>12</v>
      </c>
      <c r="N26" s="81">
        <v>11</v>
      </c>
      <c r="O26" s="81">
        <v>13</v>
      </c>
      <c r="P26" s="81">
        <v>14</v>
      </c>
      <c r="Q26" s="81">
        <v>8</v>
      </c>
      <c r="R26" s="81">
        <v>16</v>
      </c>
      <c r="S26" s="81">
        <v>25</v>
      </c>
      <c r="T26" s="136">
        <f t="shared" si="0"/>
        <v>183</v>
      </c>
      <c r="U26" s="180"/>
      <c r="V26" s="184"/>
      <c r="W26" s="182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0"/>
      <c r="AJ26" s="180"/>
      <c r="AK26" s="180"/>
    </row>
    <row r="27" spans="1:37" s="102" customFormat="1" ht="16.899999999999999" customHeight="1" x14ac:dyDescent="0.2">
      <c r="A27" s="195" t="s">
        <v>180</v>
      </c>
      <c r="B27" s="81" t="s">
        <v>181</v>
      </c>
      <c r="C27" s="81" t="s">
        <v>80</v>
      </c>
      <c r="D27" s="81"/>
      <c r="E27" s="133">
        <f>INDEX('Physician Types'!$D$9:$D$72,MATCH('Physician Visits Input Page'!C27,'Physician Types'!$C$9:$C$72,0))*IF(D27="Yes",(1+'Physician Types'!$E$4),1)</f>
        <v>0.253</v>
      </c>
      <c r="F27" s="83"/>
      <c r="G27" s="84"/>
      <c r="H27" s="87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136">
        <f t="shared" si="0"/>
        <v>0</v>
      </c>
      <c r="U27" s="183"/>
      <c r="V27" s="184"/>
      <c r="W27" s="185"/>
      <c r="X27" s="180"/>
      <c r="Y27" s="180"/>
      <c r="Z27" s="180"/>
      <c r="AA27" s="180"/>
      <c r="AB27" s="180"/>
      <c r="AC27" s="180"/>
      <c r="AD27" s="180"/>
      <c r="AE27" s="180"/>
      <c r="AF27" s="180"/>
      <c r="AG27" s="180"/>
      <c r="AH27" s="180"/>
      <c r="AI27" s="180"/>
      <c r="AJ27" s="180"/>
      <c r="AK27" s="180"/>
    </row>
    <row r="28" spans="1:37" s="102" customFormat="1" ht="16.899999999999999" customHeight="1" x14ac:dyDescent="0.2">
      <c r="A28" s="195" t="s">
        <v>180</v>
      </c>
      <c r="B28" s="81" t="s">
        <v>181</v>
      </c>
      <c r="C28" s="81" t="s">
        <v>136</v>
      </c>
      <c r="D28" s="81"/>
      <c r="E28" s="133">
        <v>0.253</v>
      </c>
      <c r="F28" s="140"/>
      <c r="G28" s="84"/>
      <c r="H28" s="139">
        <v>36</v>
      </c>
      <c r="I28" s="81">
        <v>30</v>
      </c>
      <c r="J28" s="81">
        <v>29</v>
      </c>
      <c r="K28" s="81">
        <v>38</v>
      </c>
      <c r="L28" s="81">
        <v>31</v>
      </c>
      <c r="M28" s="81">
        <v>23</v>
      </c>
      <c r="N28" s="81">
        <v>30</v>
      </c>
      <c r="O28" s="81">
        <v>33</v>
      </c>
      <c r="P28" s="81">
        <v>27</v>
      </c>
      <c r="Q28" s="81">
        <v>24</v>
      </c>
      <c r="R28" s="81">
        <v>30</v>
      </c>
      <c r="S28" s="81">
        <v>25</v>
      </c>
      <c r="T28" s="136">
        <f t="shared" si="0"/>
        <v>356</v>
      </c>
      <c r="U28" s="180"/>
      <c r="V28" s="184"/>
      <c r="W28" s="182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0"/>
      <c r="AJ28" s="180"/>
      <c r="AK28" s="180"/>
    </row>
    <row r="29" spans="1:37" s="102" customFormat="1" ht="16.899999999999999" customHeight="1" x14ac:dyDescent="0.2">
      <c r="A29" s="195"/>
      <c r="B29" s="81"/>
      <c r="C29" s="81"/>
      <c r="D29" s="81"/>
      <c r="E29" s="133">
        <v>0.88500000000000001</v>
      </c>
      <c r="F29" s="83"/>
      <c r="G29" s="84"/>
      <c r="H29" s="139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136">
        <f t="shared" si="0"/>
        <v>0</v>
      </c>
      <c r="U29" s="180"/>
      <c r="V29" s="184"/>
      <c r="W29" s="182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0"/>
      <c r="AJ29" s="180"/>
      <c r="AK29" s="180"/>
    </row>
    <row r="30" spans="1:37" s="102" customFormat="1" ht="16.899999999999999" customHeight="1" x14ac:dyDescent="0.2">
      <c r="A30" s="195"/>
      <c r="B30" s="81"/>
      <c r="C30" s="82"/>
      <c r="D30" s="81"/>
      <c r="E30" s="133">
        <v>0.253</v>
      </c>
      <c r="F30" s="83"/>
      <c r="G30" s="84"/>
      <c r="H30" s="139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136">
        <f t="shared" si="0"/>
        <v>0</v>
      </c>
      <c r="U30" s="180"/>
      <c r="V30" s="184"/>
      <c r="W30" s="182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0"/>
      <c r="AJ30" s="180"/>
      <c r="AK30" s="180"/>
    </row>
    <row r="31" spans="1:37" s="102" customFormat="1" ht="16.899999999999999" customHeight="1" x14ac:dyDescent="0.2">
      <c r="A31" s="82"/>
      <c r="B31" s="82"/>
      <c r="C31" s="82"/>
      <c r="D31" s="81"/>
      <c r="E31" s="133">
        <v>0.88500000000000001</v>
      </c>
      <c r="F31" s="83"/>
      <c r="G31" s="84"/>
      <c r="H31" s="139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136">
        <f t="shared" si="0"/>
        <v>0</v>
      </c>
      <c r="U31" s="180"/>
      <c r="V31" s="184"/>
      <c r="W31" s="182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0"/>
      <c r="AJ31" s="180"/>
      <c r="AK31" s="180"/>
    </row>
    <row r="32" spans="1:37" s="102" customFormat="1" ht="16.899999999999999" customHeight="1" x14ac:dyDescent="0.2">
      <c r="A32" s="81" t="s">
        <v>183</v>
      </c>
      <c r="B32" s="81" t="s">
        <v>184</v>
      </c>
      <c r="C32" s="81" t="s">
        <v>155</v>
      </c>
      <c r="D32" s="81"/>
      <c r="E32" s="133">
        <v>1</v>
      </c>
      <c r="F32" s="83"/>
      <c r="G32" s="84"/>
      <c r="H32" s="139"/>
      <c r="I32" s="81">
        <v>31</v>
      </c>
      <c r="J32" s="81">
        <v>81</v>
      </c>
      <c r="K32" s="81">
        <v>89</v>
      </c>
      <c r="L32" s="81">
        <v>93</v>
      </c>
      <c r="M32" s="81">
        <v>98</v>
      </c>
      <c r="N32" s="81">
        <v>152</v>
      </c>
      <c r="O32" s="81">
        <v>130</v>
      </c>
      <c r="P32" s="81">
        <v>109</v>
      </c>
      <c r="Q32" s="81">
        <v>120</v>
      </c>
      <c r="R32" s="81">
        <v>81</v>
      </c>
      <c r="S32" s="81">
        <v>102</v>
      </c>
      <c r="T32" s="136">
        <f t="shared" si="0"/>
        <v>1086</v>
      </c>
      <c r="U32" s="180"/>
      <c r="V32" s="184"/>
      <c r="W32" s="182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0"/>
      <c r="AJ32" s="180"/>
      <c r="AK32" s="180"/>
    </row>
    <row r="33" spans="1:37" s="102" customFormat="1" ht="16.899999999999999" customHeight="1" x14ac:dyDescent="0.2">
      <c r="A33" s="81" t="s">
        <v>183</v>
      </c>
      <c r="B33" s="81" t="s">
        <v>184</v>
      </c>
      <c r="C33" s="81" t="s">
        <v>136</v>
      </c>
      <c r="D33" s="81"/>
      <c r="E33" s="133">
        <v>0.88500000000000001</v>
      </c>
      <c r="F33" s="140"/>
      <c r="G33" s="84"/>
      <c r="H33" s="139"/>
      <c r="I33" s="81">
        <v>7</v>
      </c>
      <c r="J33" s="81">
        <v>8</v>
      </c>
      <c r="K33" s="81">
        <v>5</v>
      </c>
      <c r="L33" s="81">
        <v>6</v>
      </c>
      <c r="M33" s="81">
        <v>21</v>
      </c>
      <c r="N33" s="81">
        <v>14</v>
      </c>
      <c r="O33" s="81">
        <v>15</v>
      </c>
      <c r="P33" s="81">
        <v>11</v>
      </c>
      <c r="Q33" s="81">
        <v>8</v>
      </c>
      <c r="R33" s="81">
        <v>11</v>
      </c>
      <c r="S33" s="81">
        <v>6</v>
      </c>
      <c r="T33" s="136">
        <f t="shared" si="0"/>
        <v>112</v>
      </c>
      <c r="U33" s="180"/>
      <c r="V33" s="184"/>
      <c r="W33" s="182"/>
      <c r="X33" s="183"/>
      <c r="Y33" s="183"/>
      <c r="Z33" s="183"/>
      <c r="AA33" s="183"/>
      <c r="AB33" s="183"/>
      <c r="AC33" s="183"/>
      <c r="AD33" s="183"/>
      <c r="AE33" s="183"/>
      <c r="AF33" s="183"/>
      <c r="AG33" s="183"/>
      <c r="AH33" s="183"/>
      <c r="AI33" s="180"/>
      <c r="AJ33" s="180"/>
      <c r="AK33" s="180"/>
    </row>
    <row r="34" spans="1:37" s="102" customFormat="1" ht="16.899999999999999" customHeight="1" x14ac:dyDescent="0.2">
      <c r="A34" s="82"/>
      <c r="B34" s="82"/>
      <c r="C34" s="82"/>
      <c r="D34" s="81"/>
      <c r="E34" s="133">
        <v>1</v>
      </c>
      <c r="F34" s="83"/>
      <c r="G34" s="84"/>
      <c r="H34" s="139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136">
        <f t="shared" si="0"/>
        <v>0</v>
      </c>
      <c r="U34" s="180"/>
      <c r="V34" s="184"/>
      <c r="W34" s="182"/>
      <c r="X34" s="183"/>
      <c r="Y34" s="183"/>
      <c r="Z34" s="183"/>
      <c r="AA34" s="183"/>
      <c r="AB34" s="183"/>
      <c r="AC34" s="183"/>
      <c r="AD34" s="183"/>
      <c r="AE34" s="183"/>
      <c r="AF34" s="183"/>
      <c r="AG34" s="183"/>
      <c r="AH34" s="183"/>
      <c r="AI34" s="180"/>
      <c r="AJ34" s="180"/>
      <c r="AK34" s="180"/>
    </row>
    <row r="35" spans="1:37" s="102" customFormat="1" ht="16.899999999999999" customHeight="1" x14ac:dyDescent="0.2">
      <c r="A35" s="82"/>
      <c r="B35" s="82"/>
      <c r="C35" s="82"/>
      <c r="D35" s="81"/>
      <c r="E35" s="133">
        <v>0.88500000000000001</v>
      </c>
      <c r="F35" s="83"/>
      <c r="G35" s="84"/>
      <c r="H35" s="142"/>
      <c r="I35" s="82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136">
        <f t="shared" si="0"/>
        <v>0</v>
      </c>
      <c r="U35" s="180"/>
      <c r="V35" s="184"/>
      <c r="W35" s="186"/>
      <c r="X35" s="180"/>
      <c r="Y35" s="180"/>
      <c r="Z35" s="180"/>
      <c r="AA35" s="180"/>
      <c r="AB35" s="180"/>
      <c r="AC35" s="180"/>
      <c r="AD35" s="180"/>
      <c r="AE35" s="180"/>
      <c r="AF35" s="180"/>
      <c r="AG35" s="180"/>
      <c r="AH35" s="180"/>
      <c r="AI35" s="180"/>
      <c r="AJ35" s="180"/>
      <c r="AK35" s="180"/>
    </row>
    <row r="36" spans="1:37" s="102" customFormat="1" ht="16.899999999999999" customHeight="1" x14ac:dyDescent="0.2">
      <c r="A36" s="82"/>
      <c r="B36" s="82"/>
      <c r="C36" s="82"/>
      <c r="D36" s="81"/>
      <c r="E36" s="133">
        <v>1.03</v>
      </c>
      <c r="F36" s="83"/>
      <c r="G36" s="84"/>
      <c r="H36" s="142"/>
      <c r="I36" s="82"/>
      <c r="J36" s="81"/>
      <c r="K36" s="81"/>
      <c r="L36" s="81"/>
      <c r="M36" s="81"/>
      <c r="N36" s="81"/>
      <c r="O36" s="81"/>
      <c r="P36" s="81"/>
      <c r="Q36" s="81"/>
      <c r="R36" s="81"/>
      <c r="S36" s="141"/>
      <c r="T36" s="136">
        <f t="shared" si="0"/>
        <v>0</v>
      </c>
      <c r="U36" s="180"/>
      <c r="V36" s="184"/>
      <c r="W36" s="186"/>
      <c r="X36" s="180"/>
      <c r="Y36" s="180"/>
      <c r="Z36" s="180"/>
      <c r="AA36" s="180"/>
      <c r="AB36" s="180"/>
      <c r="AC36" s="180"/>
      <c r="AD36" s="180"/>
      <c r="AE36" s="180"/>
      <c r="AF36" s="180"/>
      <c r="AG36" s="180"/>
      <c r="AH36" s="180"/>
      <c r="AI36" s="180"/>
      <c r="AJ36" s="180"/>
      <c r="AK36" s="180"/>
    </row>
    <row r="37" spans="1:37" s="102" customFormat="1" ht="16.899999999999999" customHeight="1" x14ac:dyDescent="0.2">
      <c r="A37" s="82"/>
      <c r="B37" s="82"/>
      <c r="C37" s="82"/>
      <c r="D37" s="81"/>
      <c r="E37" s="133">
        <v>1</v>
      </c>
      <c r="F37" s="83"/>
      <c r="G37" s="84"/>
      <c r="H37" s="142"/>
      <c r="I37" s="82"/>
      <c r="J37" s="81"/>
      <c r="K37" s="81"/>
      <c r="L37" s="81"/>
      <c r="M37" s="81"/>
      <c r="N37" s="81"/>
      <c r="O37" s="81"/>
      <c r="P37" s="81"/>
      <c r="Q37" s="81"/>
      <c r="R37" s="81"/>
      <c r="S37" s="141"/>
      <c r="T37" s="136">
        <f t="shared" si="0"/>
        <v>0</v>
      </c>
      <c r="U37" s="180"/>
      <c r="V37" s="184"/>
      <c r="W37" s="186"/>
      <c r="X37" s="180"/>
      <c r="Y37" s="180"/>
      <c r="Z37" s="180"/>
      <c r="AA37" s="180"/>
      <c r="AB37" s="180"/>
      <c r="AC37" s="180"/>
      <c r="AD37" s="180"/>
      <c r="AE37" s="180"/>
      <c r="AF37" s="180"/>
      <c r="AG37" s="180"/>
      <c r="AH37" s="180"/>
      <c r="AI37" s="180"/>
      <c r="AJ37" s="180"/>
      <c r="AK37" s="180"/>
    </row>
    <row r="38" spans="1:37" s="102" customFormat="1" ht="16.899999999999999" customHeight="1" x14ac:dyDescent="0.2">
      <c r="A38" s="82"/>
      <c r="B38" s="82"/>
      <c r="C38" s="82"/>
      <c r="D38" s="81"/>
      <c r="E38" s="133">
        <v>0.88500000000000001</v>
      </c>
      <c r="F38" s="83"/>
      <c r="G38" s="84"/>
      <c r="H38" s="142"/>
      <c r="I38" s="82"/>
      <c r="J38" s="81"/>
      <c r="K38" s="81"/>
      <c r="L38" s="81"/>
      <c r="M38" s="81"/>
      <c r="N38" s="81"/>
      <c r="O38" s="81"/>
      <c r="P38" s="81"/>
      <c r="Q38" s="81"/>
      <c r="R38" s="81"/>
      <c r="S38" s="141"/>
      <c r="T38" s="136">
        <f t="shared" si="0"/>
        <v>0</v>
      </c>
      <c r="U38" s="180"/>
      <c r="V38" s="184"/>
      <c r="W38" s="186"/>
      <c r="X38" s="180"/>
      <c r="Y38" s="180"/>
      <c r="Z38" s="180"/>
      <c r="AA38" s="180"/>
      <c r="AB38" s="180"/>
      <c r="AC38" s="180"/>
      <c r="AD38" s="180"/>
      <c r="AE38" s="180"/>
      <c r="AF38" s="180"/>
      <c r="AG38" s="180"/>
      <c r="AH38" s="180"/>
      <c r="AI38" s="180"/>
      <c r="AJ38" s="180"/>
      <c r="AK38" s="180"/>
    </row>
    <row r="39" spans="1:37" s="102" customFormat="1" ht="16.899999999999999" customHeight="1" x14ac:dyDescent="0.2">
      <c r="A39" s="82"/>
      <c r="B39" s="82"/>
      <c r="C39" s="82"/>
      <c r="D39" s="81"/>
      <c r="E39" s="133">
        <v>0.26058999999999999</v>
      </c>
      <c r="F39" s="83"/>
      <c r="G39" s="84"/>
      <c r="H39" s="14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6"/>
      <c r="T39" s="136">
        <f t="shared" si="0"/>
        <v>0</v>
      </c>
      <c r="U39" s="180"/>
      <c r="V39" s="184"/>
      <c r="W39" s="186"/>
      <c r="X39" s="180"/>
      <c r="Y39" s="180"/>
      <c r="Z39" s="180"/>
      <c r="AA39" s="180"/>
      <c r="AB39" s="180"/>
      <c r="AC39" s="180"/>
      <c r="AD39" s="180"/>
      <c r="AE39" s="180"/>
      <c r="AF39" s="180"/>
      <c r="AG39" s="180"/>
      <c r="AH39" s="180"/>
      <c r="AI39" s="180"/>
      <c r="AJ39" s="180"/>
      <c r="AK39" s="180"/>
    </row>
    <row r="40" spans="1:37" s="102" customFormat="1" ht="16.899999999999999" customHeight="1" x14ac:dyDescent="0.2">
      <c r="A40" s="82"/>
      <c r="B40" s="82"/>
      <c r="C40" s="82"/>
      <c r="D40" s="81"/>
      <c r="E40" s="133">
        <v>0.91155000000000008</v>
      </c>
      <c r="F40" s="83"/>
      <c r="G40" s="84"/>
      <c r="H40" s="14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6"/>
      <c r="T40" s="136">
        <f t="shared" si="0"/>
        <v>0</v>
      </c>
      <c r="U40" s="180"/>
      <c r="V40" s="184"/>
      <c r="W40" s="186"/>
      <c r="X40" s="180"/>
      <c r="Y40" s="180"/>
      <c r="Z40" s="180"/>
      <c r="AA40" s="180"/>
      <c r="AB40" s="180"/>
      <c r="AC40" s="180"/>
      <c r="AD40" s="180"/>
      <c r="AE40" s="180"/>
      <c r="AF40" s="180"/>
      <c r="AG40" s="180"/>
      <c r="AH40" s="180"/>
      <c r="AI40" s="180"/>
      <c r="AJ40" s="180"/>
      <c r="AK40" s="180"/>
    </row>
    <row r="41" spans="1:37" s="102" customFormat="1" ht="16.899999999999999" customHeight="1" x14ac:dyDescent="0.2">
      <c r="A41" s="82"/>
      <c r="B41" s="82"/>
      <c r="C41" s="82"/>
      <c r="D41" s="81"/>
      <c r="E41" s="133">
        <v>0.91155000000000008</v>
      </c>
      <c r="F41" s="83"/>
      <c r="G41" s="84"/>
      <c r="H41" s="14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6"/>
      <c r="T41" s="136">
        <f t="shared" si="0"/>
        <v>0</v>
      </c>
      <c r="U41" s="180"/>
      <c r="V41" s="184"/>
      <c r="W41" s="186"/>
      <c r="X41" s="180"/>
      <c r="Y41" s="180"/>
      <c r="Z41" s="180"/>
      <c r="AA41" s="180"/>
      <c r="AB41" s="180"/>
      <c r="AC41" s="180"/>
      <c r="AD41" s="180"/>
      <c r="AE41" s="180"/>
      <c r="AF41" s="180"/>
      <c r="AG41" s="180"/>
      <c r="AH41" s="180"/>
      <c r="AI41" s="180"/>
      <c r="AJ41" s="180"/>
      <c r="AK41" s="180"/>
    </row>
    <row r="42" spans="1:37" s="102" customFormat="1" ht="16.899999999999999" customHeight="1" x14ac:dyDescent="0.2">
      <c r="A42" s="82"/>
      <c r="B42" s="82"/>
      <c r="C42" s="82"/>
      <c r="D42" s="81"/>
      <c r="E42" s="133">
        <v>1</v>
      </c>
      <c r="F42" s="140"/>
      <c r="G42" s="84"/>
      <c r="H42" s="14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6"/>
      <c r="T42" s="136">
        <f t="shared" si="0"/>
        <v>0</v>
      </c>
      <c r="U42" s="180"/>
      <c r="V42" s="184"/>
      <c r="W42" s="186"/>
      <c r="X42" s="180"/>
      <c r="Y42" s="180"/>
      <c r="Z42" s="180"/>
      <c r="AA42" s="180"/>
      <c r="AB42" s="180"/>
      <c r="AC42" s="180"/>
      <c r="AD42" s="180"/>
      <c r="AE42" s="180"/>
      <c r="AF42" s="180"/>
      <c r="AG42" s="180"/>
      <c r="AH42" s="180"/>
      <c r="AI42" s="180"/>
      <c r="AJ42" s="180"/>
      <c r="AK42" s="180"/>
    </row>
    <row r="43" spans="1:37" s="102" customFormat="1" ht="16.899999999999999" customHeight="1" x14ac:dyDescent="0.2">
      <c r="A43" s="82"/>
      <c r="B43" s="82"/>
      <c r="C43" s="82"/>
      <c r="D43" s="81"/>
      <c r="E43" s="133">
        <v>0.88500000000000001</v>
      </c>
      <c r="F43" s="140"/>
      <c r="G43" s="84"/>
      <c r="H43" s="14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6"/>
      <c r="T43" s="136">
        <f t="shared" si="0"/>
        <v>0</v>
      </c>
      <c r="U43" s="180"/>
      <c r="V43" s="184"/>
      <c r="W43" s="186"/>
      <c r="X43" s="180"/>
      <c r="Y43" s="180"/>
      <c r="Z43" s="180"/>
      <c r="AA43" s="180"/>
      <c r="AB43" s="180"/>
      <c r="AC43" s="180"/>
      <c r="AD43" s="180"/>
      <c r="AE43" s="180"/>
      <c r="AF43" s="180"/>
      <c r="AG43" s="180"/>
      <c r="AH43" s="180"/>
      <c r="AI43" s="180"/>
      <c r="AJ43" s="180"/>
      <c r="AK43" s="180"/>
    </row>
    <row r="44" spans="1:37" s="102" customFormat="1" ht="16.899999999999999" customHeight="1" x14ac:dyDescent="0.2">
      <c r="A44" s="82"/>
      <c r="B44" s="82"/>
      <c r="C44" s="82"/>
      <c r="D44" s="81"/>
      <c r="E44" s="133">
        <v>0.253</v>
      </c>
      <c r="F44" s="83"/>
      <c r="G44" s="84"/>
      <c r="H44" s="14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6"/>
      <c r="T44" s="136">
        <f t="shared" si="0"/>
        <v>0</v>
      </c>
      <c r="U44" s="180"/>
      <c r="V44" s="184"/>
      <c r="W44" s="186"/>
      <c r="X44" s="180"/>
      <c r="Y44" s="180"/>
      <c r="Z44" s="180"/>
      <c r="AA44" s="180"/>
      <c r="AB44" s="180"/>
      <c r="AC44" s="180"/>
      <c r="AD44" s="180"/>
      <c r="AE44" s="180"/>
      <c r="AF44" s="180"/>
      <c r="AG44" s="180"/>
      <c r="AH44" s="180"/>
      <c r="AI44" s="180"/>
      <c r="AJ44" s="180"/>
      <c r="AK44" s="180"/>
    </row>
    <row r="45" spans="1:37" s="102" customFormat="1" ht="16.899999999999999" customHeight="1" x14ac:dyDescent="0.2">
      <c r="A45" s="82"/>
      <c r="B45" s="82"/>
      <c r="C45" s="82"/>
      <c r="D45" s="81"/>
      <c r="E45" s="133">
        <v>0.88500000000000001</v>
      </c>
      <c r="F45" s="83"/>
      <c r="G45" s="84"/>
      <c r="H45" s="14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6"/>
      <c r="T45" s="136">
        <f t="shared" si="0"/>
        <v>0</v>
      </c>
      <c r="U45" s="180"/>
      <c r="V45" s="184"/>
      <c r="W45" s="186"/>
      <c r="X45" s="180"/>
      <c r="Y45" s="180"/>
      <c r="Z45" s="180"/>
      <c r="AA45" s="180"/>
      <c r="AB45" s="180"/>
      <c r="AC45" s="180"/>
      <c r="AD45" s="180"/>
      <c r="AE45" s="180"/>
      <c r="AF45" s="180"/>
      <c r="AG45" s="180"/>
      <c r="AH45" s="180"/>
      <c r="AI45" s="180"/>
      <c r="AJ45" s="180"/>
      <c r="AK45" s="180"/>
    </row>
    <row r="46" spans="1:37" s="102" customFormat="1" ht="16.899999999999999" customHeight="1" x14ac:dyDescent="0.2">
      <c r="A46" s="82"/>
      <c r="B46" s="82"/>
      <c r="C46" s="82"/>
      <c r="D46" s="81"/>
      <c r="E46" s="133">
        <v>0.253</v>
      </c>
      <c r="F46" s="83"/>
      <c r="G46" s="84"/>
      <c r="H46" s="14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6"/>
      <c r="T46" s="136">
        <f t="shared" si="0"/>
        <v>0</v>
      </c>
      <c r="U46" s="180"/>
      <c r="V46" s="184"/>
      <c r="W46" s="186"/>
      <c r="X46" s="180"/>
      <c r="Y46" s="180"/>
      <c r="Z46" s="180"/>
      <c r="AA46" s="180"/>
      <c r="AB46" s="180"/>
      <c r="AC46" s="180"/>
      <c r="AD46" s="180"/>
      <c r="AE46" s="180"/>
      <c r="AF46" s="180"/>
      <c r="AG46" s="180"/>
      <c r="AH46" s="180"/>
      <c r="AI46" s="180"/>
      <c r="AJ46" s="180"/>
      <c r="AK46" s="180"/>
    </row>
    <row r="47" spans="1:37" s="102" customFormat="1" ht="16.899999999999999" customHeight="1" x14ac:dyDescent="0.2">
      <c r="A47" s="82"/>
      <c r="B47" s="82"/>
      <c r="C47" s="82"/>
      <c r="D47" s="81"/>
      <c r="E47" s="133">
        <v>0.88500000000000001</v>
      </c>
      <c r="F47" s="83"/>
      <c r="G47" s="84"/>
      <c r="H47" s="14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6"/>
      <c r="T47" s="136">
        <f t="shared" si="0"/>
        <v>0</v>
      </c>
      <c r="U47" s="180"/>
      <c r="V47" s="184"/>
      <c r="W47" s="186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0"/>
      <c r="AK47" s="180"/>
    </row>
    <row r="48" spans="1:37" s="102" customFormat="1" ht="16.899999999999999" customHeight="1" x14ac:dyDescent="0.2">
      <c r="A48" s="82"/>
      <c r="B48" s="82"/>
      <c r="C48" s="82"/>
      <c r="D48" s="81"/>
      <c r="E48" s="133" t="e">
        <f>INDEX('Physician Types'!$D$9:$D$72,MATCH('Physician Visits Input Page'!C48,'Physician Types'!$C$9:$C$72,0))*IF(D48="Yes",(1+'Physician Types'!$E$4),1)</f>
        <v>#N/A</v>
      </c>
      <c r="F48" s="83"/>
      <c r="G48" s="84"/>
      <c r="H48" s="14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6"/>
      <c r="T48" s="136">
        <f t="shared" si="0"/>
        <v>0</v>
      </c>
      <c r="U48" s="180"/>
      <c r="V48" s="184"/>
      <c r="W48" s="186"/>
      <c r="X48" s="180"/>
      <c r="Y48" s="180"/>
      <c r="Z48" s="180"/>
      <c r="AA48" s="180"/>
      <c r="AB48" s="180"/>
      <c r="AC48" s="180"/>
      <c r="AD48" s="180"/>
      <c r="AE48" s="180"/>
      <c r="AF48" s="180"/>
      <c r="AG48" s="180"/>
      <c r="AH48" s="180"/>
      <c r="AI48" s="180"/>
      <c r="AJ48" s="180"/>
      <c r="AK48" s="180"/>
    </row>
    <row r="49" spans="1:37" s="102" customFormat="1" ht="16.899999999999999" customHeight="1" x14ac:dyDescent="0.2">
      <c r="A49" s="82"/>
      <c r="B49" s="82"/>
      <c r="C49" s="82"/>
      <c r="D49" s="81"/>
      <c r="E49" s="133" t="e">
        <f>INDEX('Physician Types'!$D$9:$D$72,MATCH('Physician Visits Input Page'!C49,'Physician Types'!$C$9:$C$72,0))*IF(D49="Yes",(1+'Physician Types'!$E$4),1)</f>
        <v>#N/A</v>
      </c>
      <c r="F49" s="83"/>
      <c r="G49" s="84"/>
      <c r="H49" s="14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6"/>
      <c r="T49" s="136">
        <f t="shared" si="0"/>
        <v>0</v>
      </c>
      <c r="U49" s="180"/>
      <c r="V49" s="184"/>
      <c r="W49" s="186"/>
      <c r="X49" s="180"/>
      <c r="Y49" s="180"/>
      <c r="Z49" s="180"/>
      <c r="AA49" s="180"/>
      <c r="AB49" s="180"/>
      <c r="AC49" s="180"/>
      <c r="AD49" s="180"/>
      <c r="AE49" s="180"/>
      <c r="AF49" s="180"/>
      <c r="AG49" s="180"/>
      <c r="AH49" s="180"/>
      <c r="AI49" s="180"/>
      <c r="AJ49" s="180"/>
      <c r="AK49" s="180"/>
    </row>
    <row r="50" spans="1:37" s="102" customFormat="1" ht="16.899999999999999" customHeight="1" x14ac:dyDescent="0.2">
      <c r="A50" s="82"/>
      <c r="B50" s="82"/>
      <c r="C50" s="82"/>
      <c r="D50" s="81"/>
      <c r="E50" s="133" t="e">
        <f>INDEX('Physician Types'!$D$9:$D$72,MATCH('Physician Visits Input Page'!C50,'Physician Types'!$C$9:$C$72,0))*IF(D50="Yes",(1+'Physician Types'!$E$4),1)</f>
        <v>#N/A</v>
      </c>
      <c r="F50" s="83"/>
      <c r="G50" s="84"/>
      <c r="H50" s="14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6"/>
      <c r="T50" s="136">
        <f>SUM(H50:S50)</f>
        <v>0</v>
      </c>
      <c r="U50" s="180"/>
      <c r="V50" s="184"/>
      <c r="W50" s="186"/>
      <c r="X50" s="180"/>
      <c r="Y50" s="180"/>
      <c r="Z50" s="180"/>
      <c r="AA50" s="180"/>
      <c r="AB50" s="180"/>
      <c r="AC50" s="180"/>
      <c r="AD50" s="180"/>
      <c r="AE50" s="180"/>
      <c r="AF50" s="180"/>
      <c r="AG50" s="180"/>
      <c r="AH50" s="180"/>
      <c r="AI50" s="180"/>
      <c r="AJ50" s="180"/>
      <c r="AK50" s="180"/>
    </row>
    <row r="51" spans="1:37" s="102" customFormat="1" ht="16.899999999999999" customHeight="1" x14ac:dyDescent="0.2">
      <c r="A51" s="81"/>
      <c r="B51" s="82"/>
      <c r="C51" s="82"/>
      <c r="D51" s="81"/>
      <c r="E51" s="133" t="e">
        <f>INDEX('Physician Types'!$D$9:$D$72,MATCH('Physician Visits Input Page'!C51,'Physician Types'!$C$9:$C$72,0))*IF(D51="Yes",(1+'Physician Types'!$E$4),1)</f>
        <v>#N/A</v>
      </c>
      <c r="F51" s="83"/>
      <c r="G51" s="84"/>
      <c r="H51" s="14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6"/>
      <c r="T51" s="136">
        <f t="shared" ref="T51:T64" si="1">SUM(H51:S51)</f>
        <v>0</v>
      </c>
      <c r="U51" s="180"/>
      <c r="V51" s="184"/>
      <c r="W51" s="186"/>
      <c r="X51" s="180"/>
      <c r="Y51" s="180"/>
      <c r="Z51" s="180"/>
      <c r="AA51" s="180"/>
      <c r="AB51" s="180"/>
      <c r="AC51" s="180"/>
      <c r="AD51" s="180"/>
      <c r="AE51" s="180"/>
      <c r="AF51" s="180"/>
      <c r="AG51" s="180"/>
      <c r="AH51" s="180"/>
      <c r="AI51" s="180"/>
      <c r="AJ51" s="180"/>
      <c r="AK51" s="180"/>
    </row>
    <row r="52" spans="1:37" s="102" customFormat="1" ht="16.899999999999999" customHeight="1" x14ac:dyDescent="0.2">
      <c r="A52" s="82"/>
      <c r="B52" s="82"/>
      <c r="C52" s="82"/>
      <c r="D52" s="81"/>
      <c r="E52" s="133" t="e">
        <f>INDEX('Physician Types'!$D$9:$D$72,MATCH('Physician Visits Input Page'!C52,'Physician Types'!$C$9:$C$72,0))*IF(D52="Yes",(1+'Physician Types'!$E$4),1)</f>
        <v>#N/A</v>
      </c>
      <c r="F52" s="83"/>
      <c r="G52" s="84"/>
      <c r="H52" s="14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6"/>
      <c r="T52" s="136">
        <f t="shared" si="1"/>
        <v>0</v>
      </c>
      <c r="U52" s="180"/>
      <c r="V52" s="184"/>
      <c r="W52" s="186"/>
      <c r="X52" s="180"/>
      <c r="Y52" s="180"/>
      <c r="Z52" s="180"/>
      <c r="AA52" s="180"/>
      <c r="AB52" s="180"/>
      <c r="AC52" s="180"/>
      <c r="AD52" s="180"/>
      <c r="AE52" s="180"/>
      <c r="AF52" s="180"/>
      <c r="AG52" s="180"/>
      <c r="AH52" s="180"/>
      <c r="AI52" s="180"/>
      <c r="AJ52" s="180"/>
      <c r="AK52" s="180"/>
    </row>
    <row r="53" spans="1:37" s="102" customFormat="1" ht="16.899999999999999" customHeight="1" x14ac:dyDescent="0.2">
      <c r="A53" s="82"/>
      <c r="B53" s="82"/>
      <c r="C53" s="82"/>
      <c r="D53" s="81"/>
      <c r="E53" s="133" t="e">
        <f>INDEX('Physician Types'!$D$9:$D$72,MATCH('Physician Visits Input Page'!C53,'Physician Types'!$C$9:$C$72,0))*IF(D53="Yes",(1+'Physician Types'!$E$4),1)</f>
        <v>#N/A</v>
      </c>
      <c r="F53" s="83"/>
      <c r="G53" s="84"/>
      <c r="H53" s="14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6"/>
      <c r="T53" s="136">
        <f t="shared" si="1"/>
        <v>0</v>
      </c>
      <c r="U53" s="180"/>
      <c r="V53" s="184"/>
      <c r="W53" s="186"/>
      <c r="X53" s="180"/>
      <c r="Y53" s="180"/>
      <c r="Z53" s="180"/>
      <c r="AA53" s="180"/>
      <c r="AB53" s="180"/>
      <c r="AC53" s="180"/>
      <c r="AD53" s="180"/>
      <c r="AE53" s="180"/>
      <c r="AF53" s="180"/>
      <c r="AG53" s="180"/>
      <c r="AH53" s="180"/>
      <c r="AI53" s="180"/>
      <c r="AJ53" s="180"/>
      <c r="AK53" s="180"/>
    </row>
    <row r="54" spans="1:37" s="102" customFormat="1" ht="16.899999999999999" customHeight="1" x14ac:dyDescent="0.2">
      <c r="A54" s="82"/>
      <c r="B54" s="82"/>
      <c r="C54" s="82"/>
      <c r="D54" s="81"/>
      <c r="E54" s="133" t="e">
        <f>INDEX('Physician Types'!$D$9:$D$72,MATCH('Physician Visits Input Page'!C54,'Physician Types'!$C$9:$C$72,0))*IF(D54="Yes",(1+'Physician Types'!$E$4),1)</f>
        <v>#N/A</v>
      </c>
      <c r="F54" s="83"/>
      <c r="G54" s="84"/>
      <c r="H54" s="14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6"/>
      <c r="T54" s="136">
        <f t="shared" si="1"/>
        <v>0</v>
      </c>
      <c r="U54" s="180"/>
      <c r="V54" s="184"/>
      <c r="W54" s="186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0"/>
      <c r="AK54" s="180"/>
    </row>
    <row r="55" spans="1:37" s="102" customFormat="1" ht="16.899999999999999" customHeight="1" x14ac:dyDescent="0.2">
      <c r="A55" s="82"/>
      <c r="B55" s="82"/>
      <c r="C55" s="82"/>
      <c r="D55" s="81"/>
      <c r="E55" s="133" t="e">
        <f>INDEX('Physician Types'!$D$9:$D$72,MATCH('Physician Visits Input Page'!C55,'Physician Types'!$C$9:$C$72,0))*IF(D55="Yes",(1+'Physician Types'!$E$4),1)</f>
        <v>#N/A</v>
      </c>
      <c r="F55" s="83"/>
      <c r="G55" s="84"/>
      <c r="H55" s="14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6"/>
      <c r="T55" s="136">
        <f t="shared" si="1"/>
        <v>0</v>
      </c>
      <c r="U55" s="180"/>
      <c r="V55" s="184"/>
      <c r="W55" s="186"/>
      <c r="X55" s="180"/>
      <c r="Y55" s="180"/>
      <c r="Z55" s="180"/>
      <c r="AA55" s="180"/>
      <c r="AB55" s="180"/>
      <c r="AC55" s="180"/>
      <c r="AD55" s="180"/>
      <c r="AE55" s="180"/>
      <c r="AF55" s="180"/>
      <c r="AG55" s="180"/>
      <c r="AH55" s="180"/>
      <c r="AI55" s="180"/>
      <c r="AJ55" s="180"/>
      <c r="AK55" s="180"/>
    </row>
    <row r="56" spans="1:37" s="102" customFormat="1" ht="16.899999999999999" customHeight="1" x14ac:dyDescent="0.2">
      <c r="A56" s="82"/>
      <c r="B56" s="82"/>
      <c r="C56" s="82"/>
      <c r="D56" s="81"/>
      <c r="E56" s="133" t="e">
        <f>INDEX('Physician Types'!$D$9:$D$72,MATCH('Physician Visits Input Page'!C56,'Physician Types'!$C$9:$C$72,0))*IF(D56="Yes",(1+'Physician Types'!$E$4),1)</f>
        <v>#N/A</v>
      </c>
      <c r="F56" s="83"/>
      <c r="G56" s="84"/>
      <c r="H56" s="14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6"/>
      <c r="T56" s="136">
        <f t="shared" si="1"/>
        <v>0</v>
      </c>
      <c r="U56" s="180"/>
      <c r="V56" s="184"/>
      <c r="W56" s="186"/>
      <c r="X56" s="180"/>
      <c r="Y56" s="180"/>
      <c r="Z56" s="180"/>
      <c r="AA56" s="180"/>
      <c r="AB56" s="180"/>
      <c r="AC56" s="180"/>
      <c r="AD56" s="180"/>
      <c r="AE56" s="180"/>
      <c r="AF56" s="180"/>
      <c r="AG56" s="180"/>
      <c r="AH56" s="180"/>
      <c r="AI56" s="180"/>
      <c r="AJ56" s="180"/>
      <c r="AK56" s="180"/>
    </row>
    <row r="57" spans="1:37" s="102" customFormat="1" ht="16.899999999999999" customHeight="1" x14ac:dyDescent="0.2">
      <c r="A57" s="82"/>
      <c r="B57" s="82"/>
      <c r="C57" s="82"/>
      <c r="D57" s="81"/>
      <c r="E57" s="133" t="e">
        <f>INDEX('Physician Types'!$D$9:$D$72,MATCH('Physician Visits Input Page'!C57,'Physician Types'!$C$9:$C$72,0))*IF(D57="Yes",(1+'Physician Types'!$E$4),1)</f>
        <v>#N/A</v>
      </c>
      <c r="F57" s="83"/>
      <c r="G57" s="84"/>
      <c r="H57" s="14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6"/>
      <c r="T57" s="136">
        <f t="shared" si="1"/>
        <v>0</v>
      </c>
      <c r="U57" s="180"/>
      <c r="V57" s="184"/>
      <c r="W57" s="186"/>
      <c r="X57" s="180"/>
      <c r="Y57" s="180"/>
      <c r="Z57" s="180"/>
      <c r="AA57" s="180"/>
      <c r="AB57" s="180"/>
      <c r="AC57" s="180"/>
      <c r="AD57" s="180"/>
      <c r="AE57" s="180"/>
      <c r="AF57" s="180"/>
      <c r="AG57" s="180"/>
      <c r="AH57" s="180"/>
      <c r="AI57" s="180"/>
      <c r="AJ57" s="180"/>
      <c r="AK57" s="180"/>
    </row>
    <row r="58" spans="1:37" s="102" customFormat="1" ht="16.899999999999999" customHeight="1" x14ac:dyDescent="0.2">
      <c r="A58" s="82"/>
      <c r="B58" s="82"/>
      <c r="C58" s="82"/>
      <c r="D58" s="81"/>
      <c r="E58" s="133" t="e">
        <f>INDEX('Physician Types'!$D$9:$D$72,MATCH('Physician Visits Input Page'!C58,'Physician Types'!$C$9:$C$72,0))*IF(D58="Yes",(1+'Physician Types'!$E$4),1)</f>
        <v>#N/A</v>
      </c>
      <c r="F58" s="83"/>
      <c r="G58" s="84"/>
      <c r="H58" s="14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6"/>
      <c r="T58" s="136">
        <f t="shared" si="1"/>
        <v>0</v>
      </c>
      <c r="U58" s="180"/>
      <c r="V58" s="184"/>
      <c r="W58" s="186"/>
      <c r="X58" s="180"/>
      <c r="Y58" s="180"/>
      <c r="Z58" s="180"/>
      <c r="AA58" s="180"/>
      <c r="AB58" s="180"/>
      <c r="AC58" s="180"/>
      <c r="AD58" s="180"/>
      <c r="AE58" s="180"/>
      <c r="AF58" s="180"/>
      <c r="AG58" s="180"/>
      <c r="AH58" s="180"/>
      <c r="AI58" s="180"/>
      <c r="AJ58" s="180"/>
      <c r="AK58" s="180"/>
    </row>
    <row r="59" spans="1:37" s="102" customFormat="1" ht="16.899999999999999" customHeight="1" x14ac:dyDescent="0.2">
      <c r="A59" s="82"/>
      <c r="B59" s="82"/>
      <c r="C59" s="82"/>
      <c r="D59" s="81"/>
      <c r="E59" s="133" t="e">
        <f>INDEX('Physician Types'!$D$9:$D$72,MATCH('Physician Visits Input Page'!C59,'Physician Types'!$C$9:$C$72,0))*IF(D59="Yes",(1+'Physician Types'!$E$4),1)</f>
        <v>#N/A</v>
      </c>
      <c r="F59" s="83"/>
      <c r="G59" s="84"/>
      <c r="H59" s="14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6"/>
      <c r="T59" s="136">
        <f t="shared" si="1"/>
        <v>0</v>
      </c>
      <c r="U59" s="180"/>
      <c r="V59" s="184"/>
      <c r="W59" s="186"/>
      <c r="X59" s="180"/>
      <c r="Y59" s="180"/>
      <c r="Z59" s="180"/>
      <c r="AA59" s="180"/>
      <c r="AB59" s="180"/>
      <c r="AC59" s="180"/>
      <c r="AD59" s="180"/>
      <c r="AE59" s="180"/>
      <c r="AF59" s="180"/>
      <c r="AG59" s="180"/>
      <c r="AH59" s="180"/>
      <c r="AI59" s="180"/>
      <c r="AJ59" s="180"/>
      <c r="AK59" s="180"/>
    </row>
    <row r="60" spans="1:37" s="102" customFormat="1" ht="16.899999999999999" customHeight="1" x14ac:dyDescent="0.2">
      <c r="A60" s="82"/>
      <c r="B60" s="82"/>
      <c r="C60" s="82"/>
      <c r="D60" s="81"/>
      <c r="E60" s="133" t="e">
        <f>INDEX('Physician Types'!$D$9:$D$72,MATCH('Physician Visits Input Page'!C60,'Physician Types'!$C$9:$C$72,0))*IF(D60="Yes",(1+'Physician Types'!$E$4),1)</f>
        <v>#N/A</v>
      </c>
      <c r="F60" s="83"/>
      <c r="G60" s="84"/>
      <c r="H60" s="14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6"/>
      <c r="T60" s="136">
        <f t="shared" si="1"/>
        <v>0</v>
      </c>
      <c r="U60" s="180"/>
      <c r="V60" s="184"/>
      <c r="W60" s="186"/>
      <c r="X60" s="180"/>
      <c r="Y60" s="180"/>
      <c r="Z60" s="180"/>
      <c r="AA60" s="180"/>
      <c r="AB60" s="180"/>
      <c r="AC60" s="180"/>
      <c r="AD60" s="180"/>
      <c r="AE60" s="180"/>
      <c r="AF60" s="180"/>
      <c r="AG60" s="180"/>
      <c r="AH60" s="180"/>
      <c r="AI60" s="180"/>
      <c r="AJ60" s="180"/>
      <c r="AK60" s="180"/>
    </row>
    <row r="61" spans="1:37" s="102" customFormat="1" ht="16.899999999999999" customHeight="1" x14ac:dyDescent="0.2">
      <c r="A61" s="82"/>
      <c r="B61" s="82"/>
      <c r="C61" s="82"/>
      <c r="D61" s="81"/>
      <c r="E61" s="133" t="e">
        <f>INDEX('Physician Types'!$D$9:$D$72,MATCH('Physician Visits Input Page'!C61,'Physician Types'!$C$9:$C$72,0))*IF(D61="Yes",(1+'Physician Types'!$E$4),1)</f>
        <v>#N/A</v>
      </c>
      <c r="F61" s="83"/>
      <c r="G61" s="84"/>
      <c r="H61" s="14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6"/>
      <c r="T61" s="136">
        <f t="shared" si="1"/>
        <v>0</v>
      </c>
      <c r="U61" s="180"/>
      <c r="V61" s="184"/>
      <c r="W61" s="186"/>
      <c r="X61" s="180"/>
      <c r="Y61" s="180"/>
      <c r="Z61" s="180"/>
      <c r="AA61" s="180"/>
      <c r="AB61" s="180"/>
      <c r="AC61" s="180"/>
      <c r="AD61" s="180"/>
      <c r="AE61" s="180"/>
      <c r="AF61" s="180"/>
      <c r="AG61" s="180"/>
      <c r="AH61" s="180"/>
      <c r="AI61" s="180"/>
      <c r="AJ61" s="180"/>
      <c r="AK61" s="180"/>
    </row>
    <row r="62" spans="1:37" s="102" customFormat="1" ht="16.899999999999999" customHeight="1" x14ac:dyDescent="0.2">
      <c r="A62" s="82"/>
      <c r="B62" s="82"/>
      <c r="C62" s="82"/>
      <c r="D62" s="81"/>
      <c r="E62" s="133" t="e">
        <f>INDEX('Physician Types'!$D$9:$D$72,MATCH('Physician Visits Input Page'!C62,'Physician Types'!$C$9:$C$72,0))*IF(D62="Yes",(1+'Physician Types'!$E$4),1)</f>
        <v>#N/A</v>
      </c>
      <c r="F62" s="83"/>
      <c r="G62" s="84"/>
      <c r="H62" s="14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6"/>
      <c r="T62" s="136">
        <f t="shared" si="1"/>
        <v>0</v>
      </c>
      <c r="U62" s="180"/>
      <c r="V62" s="184"/>
      <c r="W62" s="186"/>
      <c r="X62" s="180"/>
      <c r="Y62" s="180"/>
      <c r="Z62" s="180"/>
      <c r="AA62" s="180"/>
      <c r="AB62" s="180"/>
      <c r="AC62" s="180"/>
      <c r="AD62" s="180"/>
      <c r="AE62" s="180"/>
      <c r="AF62" s="180"/>
      <c r="AG62" s="180"/>
      <c r="AH62" s="180"/>
      <c r="AI62" s="180"/>
      <c r="AJ62" s="180"/>
      <c r="AK62" s="180"/>
    </row>
    <row r="63" spans="1:37" s="102" customFormat="1" ht="16.899999999999999" customHeight="1" x14ac:dyDescent="0.2">
      <c r="A63" s="82"/>
      <c r="B63" s="82"/>
      <c r="C63" s="82"/>
      <c r="D63" s="81"/>
      <c r="E63" s="133" t="e">
        <f>INDEX('Physician Types'!$D$9:$D$72,MATCH('Physician Visits Input Page'!C63,'Physician Types'!$C$9:$C$72,0))*IF(D63="Yes",(1+'Physician Types'!$E$4),1)</f>
        <v>#N/A</v>
      </c>
      <c r="F63" s="83"/>
      <c r="G63" s="84"/>
      <c r="H63" s="14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6"/>
      <c r="T63" s="136">
        <f t="shared" si="1"/>
        <v>0</v>
      </c>
      <c r="U63" s="180"/>
      <c r="V63" s="184"/>
      <c r="W63" s="186"/>
      <c r="X63" s="180"/>
      <c r="Y63" s="180"/>
      <c r="Z63" s="180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</row>
    <row r="64" spans="1:37" s="102" customFormat="1" ht="16.899999999999999" customHeight="1" x14ac:dyDescent="0.2">
      <c r="A64" s="82"/>
      <c r="B64" s="82"/>
      <c r="C64" s="82"/>
      <c r="D64" s="81"/>
      <c r="E64" s="133" t="e">
        <f>INDEX('Physician Types'!$D$9:$D$72,MATCH('Physician Visits Input Page'!C64,'Physician Types'!$C$9:$C$72,0))*IF(D64="Yes",(1+'Physician Types'!$E$4),1)</f>
        <v>#N/A</v>
      </c>
      <c r="F64" s="83"/>
      <c r="G64" s="84"/>
      <c r="H64" s="14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6"/>
      <c r="T64" s="136">
        <f t="shared" si="1"/>
        <v>0</v>
      </c>
      <c r="U64" s="180"/>
      <c r="V64" s="184"/>
      <c r="W64" s="186"/>
      <c r="X64" s="180"/>
      <c r="Y64" s="180"/>
      <c r="Z64" s="180"/>
      <c r="AA64" s="180"/>
      <c r="AB64" s="180"/>
      <c r="AC64" s="180"/>
      <c r="AD64" s="180"/>
      <c r="AE64" s="180"/>
      <c r="AF64" s="180"/>
      <c r="AG64" s="180"/>
      <c r="AH64" s="180"/>
      <c r="AI64" s="180"/>
      <c r="AJ64" s="180"/>
      <c r="AK64" s="180"/>
    </row>
    <row r="65" spans="1:37" s="102" customFormat="1" ht="16.899999999999999" customHeight="1" x14ac:dyDescent="0.2">
      <c r="A65" s="82"/>
      <c r="B65" s="82"/>
      <c r="C65" s="82"/>
      <c r="D65" s="81"/>
      <c r="E65" s="133" t="e">
        <f>INDEX('Physician Types'!$D$9:$D$72,MATCH('Physician Visits Input Page'!C65,'Physician Types'!$C$9:$C$72,0))*IF(D65="Yes",(1+'Physician Types'!$E$4),1)</f>
        <v>#N/A</v>
      </c>
      <c r="F65" s="83"/>
      <c r="G65" s="84"/>
      <c r="H65" s="14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6"/>
      <c r="T65" s="136">
        <f t="shared" si="0"/>
        <v>0</v>
      </c>
      <c r="U65" s="180"/>
      <c r="V65" s="184"/>
      <c r="W65" s="186"/>
      <c r="X65" s="180"/>
      <c r="Y65" s="180"/>
      <c r="Z65" s="180"/>
      <c r="AA65" s="180"/>
      <c r="AB65" s="180"/>
      <c r="AC65" s="180"/>
      <c r="AD65" s="180"/>
      <c r="AE65" s="180"/>
      <c r="AF65" s="180"/>
      <c r="AG65" s="180"/>
      <c r="AH65" s="180"/>
      <c r="AI65" s="180"/>
      <c r="AJ65" s="180"/>
      <c r="AK65" s="180"/>
    </row>
    <row r="66" spans="1:37" s="102" customFormat="1" ht="16.899999999999999" customHeight="1" x14ac:dyDescent="0.2">
      <c r="A66" s="82"/>
      <c r="B66" s="82"/>
      <c r="C66" s="82"/>
      <c r="D66" s="81"/>
      <c r="E66" s="133" t="e">
        <f>INDEX('Physician Types'!$D$9:$D$72,MATCH('Physician Visits Input Page'!C66,'Physician Types'!$C$9:$C$72,0))*IF(D66="Yes",(1+'Physician Types'!$E$4),1)</f>
        <v>#N/A</v>
      </c>
      <c r="F66" s="83"/>
      <c r="G66" s="84"/>
      <c r="H66" s="14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6"/>
      <c r="T66" s="136">
        <f t="shared" si="0"/>
        <v>0</v>
      </c>
      <c r="U66" s="180"/>
      <c r="V66" s="184"/>
      <c r="W66" s="186"/>
      <c r="X66" s="180"/>
      <c r="Y66" s="180"/>
      <c r="Z66" s="180"/>
      <c r="AA66" s="180"/>
      <c r="AB66" s="180"/>
      <c r="AC66" s="180"/>
      <c r="AD66" s="180"/>
      <c r="AE66" s="180"/>
      <c r="AF66" s="180"/>
      <c r="AG66" s="180"/>
      <c r="AH66" s="180"/>
      <c r="AI66" s="180"/>
      <c r="AJ66" s="180"/>
      <c r="AK66" s="180"/>
    </row>
    <row r="67" spans="1:37" s="102" customFormat="1" ht="16.899999999999999" customHeight="1" x14ac:dyDescent="0.2">
      <c r="A67" s="82"/>
      <c r="B67" s="82"/>
      <c r="C67" s="82"/>
      <c r="D67" s="81"/>
      <c r="E67" s="133" t="e">
        <f>INDEX('Physician Types'!$D$9:$D$72,MATCH('Physician Visits Input Page'!C67,'Physician Types'!$C$9:$C$72,0))*IF(D67="Yes",(1+'Physician Types'!$E$4),1)</f>
        <v>#N/A</v>
      </c>
      <c r="F67" s="83"/>
      <c r="G67" s="84"/>
      <c r="H67" s="14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6"/>
      <c r="T67" s="136">
        <f t="shared" si="0"/>
        <v>0</v>
      </c>
      <c r="U67" s="180"/>
      <c r="V67" s="184"/>
      <c r="W67" s="186"/>
      <c r="X67" s="180"/>
      <c r="Y67" s="180"/>
      <c r="Z67" s="180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</row>
    <row r="68" spans="1:37" s="102" customFormat="1" ht="16.899999999999999" customHeight="1" x14ac:dyDescent="0.2">
      <c r="A68" s="82"/>
      <c r="B68" s="82"/>
      <c r="C68" s="82"/>
      <c r="D68" s="81"/>
      <c r="E68" s="133" t="e">
        <f>INDEX('Physician Types'!$D$9:$D$72,MATCH('Physician Visits Input Page'!C68,'Physician Types'!$C$9:$C$72,0))*IF(D68="Yes",(1+'Physician Types'!$E$4),1)</f>
        <v>#N/A</v>
      </c>
      <c r="F68" s="83"/>
      <c r="G68" s="84"/>
      <c r="H68" s="14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6"/>
      <c r="T68" s="136">
        <f t="shared" si="0"/>
        <v>0</v>
      </c>
      <c r="U68" s="180"/>
      <c r="V68" s="184"/>
      <c r="W68" s="186"/>
      <c r="X68" s="180"/>
      <c r="Y68" s="180"/>
      <c r="Z68" s="180"/>
      <c r="AA68" s="180"/>
      <c r="AB68" s="180"/>
      <c r="AC68" s="180"/>
      <c r="AD68" s="180"/>
      <c r="AE68" s="180"/>
      <c r="AF68" s="180"/>
      <c r="AG68" s="180"/>
      <c r="AH68" s="180"/>
      <c r="AI68" s="180"/>
      <c r="AJ68" s="180"/>
      <c r="AK68" s="180"/>
    </row>
    <row r="69" spans="1:37" s="102" customFormat="1" x14ac:dyDescent="0.2">
      <c r="A69" s="81"/>
      <c r="B69" s="81"/>
      <c r="C69" s="82"/>
      <c r="D69" s="81"/>
      <c r="E69" s="133" t="e">
        <f>INDEX('Physician Types'!$D$9:$D$72,MATCH('Physician Visits Input Page'!C69,'Physician Types'!$C$9:$C$72,0))*IF(D69="Yes",(1+'Physician Types'!$E$4),1)</f>
        <v>#N/A</v>
      </c>
      <c r="F69" s="83"/>
      <c r="G69" s="84"/>
      <c r="H69" s="87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6"/>
      <c r="T69" s="136">
        <f t="shared" si="0"/>
        <v>0</v>
      </c>
      <c r="U69" s="183"/>
      <c r="V69" s="184"/>
      <c r="W69" s="185"/>
      <c r="X69" s="180"/>
      <c r="Y69" s="180"/>
      <c r="Z69" s="180"/>
      <c r="AA69" s="180"/>
      <c r="AB69" s="180"/>
      <c r="AC69" s="180"/>
      <c r="AD69" s="180"/>
      <c r="AE69" s="180"/>
      <c r="AF69" s="180"/>
      <c r="AG69" s="180"/>
      <c r="AH69" s="180"/>
      <c r="AI69" s="180"/>
      <c r="AJ69" s="180"/>
      <c r="AK69" s="180"/>
    </row>
    <row r="70" spans="1:37" s="102" customFormat="1" x14ac:dyDescent="0.2">
      <c r="A70" s="81"/>
      <c r="B70" s="81"/>
      <c r="C70" s="82"/>
      <c r="D70" s="81"/>
      <c r="E70" s="133" t="e">
        <f>INDEX('Physician Types'!$D$9:$D$72,MATCH('Physician Visits Input Page'!C70,'Physician Types'!$C$9:$C$72,0))*IF(D70="Yes",(1+'Physician Types'!$E$4),1)</f>
        <v>#N/A</v>
      </c>
      <c r="F70" s="140"/>
      <c r="G70" s="84"/>
      <c r="H70" s="87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6"/>
      <c r="T70" s="136">
        <f t="shared" si="0"/>
        <v>0</v>
      </c>
      <c r="U70" s="183"/>
      <c r="V70" s="184"/>
      <c r="W70" s="185"/>
      <c r="X70" s="180"/>
      <c r="Y70" s="180"/>
      <c r="Z70" s="180"/>
      <c r="AA70" s="180"/>
      <c r="AB70" s="180"/>
      <c r="AC70" s="180"/>
      <c r="AD70" s="180"/>
      <c r="AE70" s="180"/>
      <c r="AF70" s="180"/>
      <c r="AG70" s="180"/>
      <c r="AH70" s="180"/>
      <c r="AI70" s="180"/>
      <c r="AJ70" s="180"/>
      <c r="AK70" s="180"/>
    </row>
    <row r="71" spans="1:37" s="102" customFormat="1" ht="13.5" thickBot="1" x14ac:dyDescent="0.25">
      <c r="A71" s="88"/>
      <c r="B71" s="88"/>
      <c r="C71" s="88"/>
      <c r="D71" s="143"/>
      <c r="E71" s="134" t="e">
        <f>INDEX('Physician Types'!$D$9:$D$72,MATCH('Physician Visits Input Page'!C71,'Physician Types'!$C$9:$C$72,0))*IF(D71="Yes",(1+'Physician Types'!$E$4),1)</f>
        <v>#N/A</v>
      </c>
      <c r="F71" s="90"/>
      <c r="G71" s="91"/>
      <c r="H71" s="92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93"/>
      <c r="T71" s="137">
        <f t="shared" si="0"/>
        <v>0</v>
      </c>
      <c r="U71" s="180"/>
      <c r="V71" s="184"/>
      <c r="W71" s="185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</row>
    <row r="72" spans="1:37" s="102" customFormat="1" x14ac:dyDescent="0.2">
      <c r="A72" s="187"/>
      <c r="B72" s="180"/>
      <c r="D72" s="157"/>
      <c r="E72" s="181"/>
      <c r="F72" s="181"/>
      <c r="G72" s="188"/>
      <c r="H72" s="159"/>
      <c r="U72" s="180"/>
      <c r="V72" s="180"/>
      <c r="W72" s="180"/>
      <c r="X72" s="180"/>
      <c r="Y72" s="180"/>
      <c r="Z72" s="180"/>
      <c r="AA72" s="180"/>
      <c r="AB72" s="180"/>
      <c r="AC72" s="180"/>
      <c r="AD72" s="180"/>
      <c r="AE72" s="180"/>
      <c r="AF72" s="180"/>
      <c r="AG72" s="180"/>
      <c r="AH72" s="180"/>
      <c r="AI72" s="180"/>
      <c r="AJ72" s="180"/>
      <c r="AK72" s="180"/>
    </row>
    <row r="73" spans="1:37" s="102" customFormat="1" x14ac:dyDescent="0.2">
      <c r="A73" s="189"/>
      <c r="B73" s="180"/>
      <c r="C73" s="190"/>
      <c r="D73" s="157"/>
      <c r="E73" s="181"/>
      <c r="F73" s="181"/>
      <c r="G73" s="188"/>
    </row>
    <row r="74" spans="1:37" s="102" customFormat="1" x14ac:dyDescent="0.2">
      <c r="A74" s="189"/>
      <c r="B74" s="180"/>
      <c r="C74" s="190"/>
      <c r="D74" s="179"/>
      <c r="E74" s="181"/>
      <c r="F74" s="181"/>
      <c r="G74" s="188"/>
      <c r="H74" s="159"/>
    </row>
    <row r="75" spans="1:37" s="102" customFormat="1" x14ac:dyDescent="0.2">
      <c r="C75" s="190"/>
      <c r="D75" s="179"/>
      <c r="E75" s="181"/>
      <c r="F75" s="181"/>
      <c r="G75" s="188"/>
      <c r="H75" s="159"/>
    </row>
    <row r="76" spans="1:37" s="102" customFormat="1" x14ac:dyDescent="0.2">
      <c r="C76" s="191"/>
      <c r="D76" s="176"/>
      <c r="G76" s="188"/>
      <c r="H76" s="159"/>
    </row>
    <row r="77" spans="1:37" s="102" customFormat="1" x14ac:dyDescent="0.2">
      <c r="C77" s="181"/>
      <c r="D77" s="192"/>
      <c r="E77" s="181"/>
      <c r="F77" s="181"/>
      <c r="G77" s="188"/>
      <c r="H77" s="159"/>
    </row>
    <row r="78" spans="1:37" s="102" customFormat="1" x14ac:dyDescent="0.2">
      <c r="C78" s="191"/>
      <c r="D78" s="176"/>
      <c r="G78" s="188"/>
      <c r="H78" s="159"/>
    </row>
    <row r="79" spans="1:37" s="102" customFormat="1" x14ac:dyDescent="0.2">
      <c r="C79" s="190"/>
      <c r="D79" s="179"/>
      <c r="E79" s="181"/>
      <c r="F79" s="181"/>
      <c r="G79" s="188"/>
      <c r="H79" s="159"/>
    </row>
    <row r="80" spans="1:37" s="102" customFormat="1" x14ac:dyDescent="0.2">
      <c r="C80" s="190"/>
      <c r="D80" s="179"/>
      <c r="E80" s="181"/>
      <c r="F80" s="181"/>
      <c r="G80" s="188"/>
      <c r="H80" s="159"/>
    </row>
    <row r="81" spans="1:8" s="102" customFormat="1" x14ac:dyDescent="0.2">
      <c r="C81" s="190"/>
      <c r="D81" s="179"/>
      <c r="E81" s="181"/>
      <c r="F81" s="181"/>
      <c r="G81" s="188"/>
      <c r="H81" s="159"/>
    </row>
    <row r="82" spans="1:8" s="102" customFormat="1" x14ac:dyDescent="0.2">
      <c r="C82" s="190"/>
      <c r="D82" s="179"/>
      <c r="E82" s="181"/>
      <c r="F82" s="181"/>
      <c r="G82" s="188"/>
      <c r="H82" s="159"/>
    </row>
    <row r="83" spans="1:8" s="102" customFormat="1" x14ac:dyDescent="0.2">
      <c r="C83" s="190"/>
      <c r="D83" s="179"/>
      <c r="E83" s="181"/>
      <c r="F83" s="181"/>
      <c r="G83" s="188"/>
      <c r="H83" s="159"/>
    </row>
    <row r="84" spans="1:8" s="102" customFormat="1" x14ac:dyDescent="0.2">
      <c r="C84" s="190"/>
      <c r="D84" s="179"/>
      <c r="E84" s="181"/>
      <c r="F84" s="181"/>
      <c r="G84" s="188"/>
      <c r="H84" s="159"/>
    </row>
    <row r="85" spans="1:8" s="102" customFormat="1" x14ac:dyDescent="0.2">
      <c r="C85" s="190"/>
      <c r="D85" s="179"/>
      <c r="E85" s="181"/>
      <c r="F85" s="181"/>
      <c r="G85" s="188"/>
      <c r="H85" s="159"/>
    </row>
    <row r="86" spans="1:8" s="102" customFormat="1" x14ac:dyDescent="0.2">
      <c r="C86" s="190"/>
      <c r="D86" s="179"/>
      <c r="E86" s="181"/>
      <c r="F86" s="181"/>
      <c r="G86" s="188"/>
      <c r="H86" s="159"/>
    </row>
    <row r="87" spans="1:8" s="102" customFormat="1" x14ac:dyDescent="0.2">
      <c r="A87" s="157"/>
      <c r="B87" s="157"/>
      <c r="C87" s="191"/>
      <c r="D87" s="176"/>
      <c r="G87" s="188"/>
      <c r="H87" s="159"/>
    </row>
    <row r="88" spans="1:8" s="102" customFormat="1" x14ac:dyDescent="0.2">
      <c r="C88" s="181"/>
      <c r="D88" s="192"/>
      <c r="E88" s="181"/>
      <c r="F88" s="181"/>
      <c r="G88" s="188"/>
      <c r="H88" s="159"/>
    </row>
    <row r="89" spans="1:8" s="102" customFormat="1" x14ac:dyDescent="0.2">
      <c r="C89" s="191"/>
      <c r="D89" s="176"/>
      <c r="G89" s="188"/>
      <c r="H89" s="159"/>
    </row>
    <row r="90" spans="1:8" s="102" customFormat="1" x14ac:dyDescent="0.2">
      <c r="C90" s="190"/>
      <c r="D90" s="179"/>
      <c r="E90" s="181"/>
      <c r="F90" s="181"/>
      <c r="G90" s="188"/>
      <c r="H90" s="159"/>
    </row>
    <row r="91" spans="1:8" s="102" customFormat="1" x14ac:dyDescent="0.2">
      <c r="C91" s="190"/>
      <c r="D91" s="179"/>
      <c r="E91" s="181"/>
      <c r="F91" s="181"/>
      <c r="G91" s="188"/>
      <c r="H91" s="159"/>
    </row>
    <row r="92" spans="1:8" s="102" customFormat="1" x14ac:dyDescent="0.2">
      <c r="C92" s="190"/>
      <c r="D92" s="179"/>
      <c r="E92" s="181"/>
      <c r="F92" s="181"/>
      <c r="G92" s="188"/>
      <c r="H92" s="159"/>
    </row>
    <row r="93" spans="1:8" s="102" customFormat="1" x14ac:dyDescent="0.2">
      <c r="C93" s="190"/>
      <c r="D93" s="179"/>
      <c r="E93" s="181"/>
      <c r="F93" s="181"/>
      <c r="G93" s="188"/>
      <c r="H93" s="159"/>
    </row>
    <row r="94" spans="1:8" s="102" customFormat="1" x14ac:dyDescent="0.2">
      <c r="C94" s="190"/>
      <c r="D94" s="179"/>
      <c r="E94" s="181"/>
      <c r="F94" s="181"/>
      <c r="G94" s="188"/>
      <c r="H94" s="159"/>
    </row>
    <row r="95" spans="1:8" s="102" customFormat="1" x14ac:dyDescent="0.2">
      <c r="C95" s="190"/>
      <c r="D95" s="179"/>
      <c r="E95" s="181"/>
      <c r="F95" s="181"/>
      <c r="G95" s="188"/>
      <c r="H95" s="159"/>
    </row>
    <row r="96" spans="1:8" s="102" customFormat="1" x14ac:dyDescent="0.2">
      <c r="C96" s="190"/>
      <c r="D96" s="179"/>
      <c r="E96" s="181"/>
      <c r="F96" s="181"/>
      <c r="G96" s="188"/>
      <c r="H96" s="159"/>
    </row>
    <row r="97" spans="3:8" s="102" customFormat="1" x14ac:dyDescent="0.2">
      <c r="C97" s="191"/>
      <c r="D97" s="176"/>
      <c r="G97" s="188"/>
      <c r="H97" s="159"/>
    </row>
    <row r="98" spans="3:8" s="102" customFormat="1" x14ac:dyDescent="0.2">
      <c r="C98" s="181"/>
      <c r="D98" s="192"/>
      <c r="E98" s="181"/>
      <c r="F98" s="181"/>
      <c r="G98" s="188"/>
      <c r="H98" s="159"/>
    </row>
    <row r="99" spans="3:8" s="102" customFormat="1" x14ac:dyDescent="0.2">
      <c r="C99" s="191"/>
      <c r="D99" s="176"/>
      <c r="G99" s="188"/>
      <c r="H99" s="159"/>
    </row>
    <row r="100" spans="3:8" s="102" customFormat="1" x14ac:dyDescent="0.2">
      <c r="C100" s="190"/>
      <c r="D100" s="179"/>
      <c r="E100" s="181"/>
      <c r="F100" s="181"/>
      <c r="G100" s="188"/>
      <c r="H100" s="159"/>
    </row>
    <row r="101" spans="3:8" s="102" customFormat="1" x14ac:dyDescent="0.2">
      <c r="C101" s="190"/>
      <c r="D101" s="179"/>
      <c r="E101" s="181"/>
      <c r="F101" s="181"/>
      <c r="G101" s="188"/>
      <c r="H101" s="159"/>
    </row>
    <row r="102" spans="3:8" s="102" customFormat="1" x14ac:dyDescent="0.2">
      <c r="C102" s="190"/>
      <c r="D102" s="179"/>
      <c r="E102" s="181"/>
      <c r="F102" s="181"/>
      <c r="G102" s="188"/>
      <c r="H102" s="159"/>
    </row>
    <row r="103" spans="3:8" s="102" customFormat="1" x14ac:dyDescent="0.2">
      <c r="C103" s="190"/>
      <c r="D103" s="179"/>
      <c r="E103" s="181"/>
      <c r="F103" s="181"/>
      <c r="G103" s="188"/>
      <c r="H103" s="159"/>
    </row>
    <row r="104" spans="3:8" s="102" customFormat="1" x14ac:dyDescent="0.2">
      <c r="C104" s="191"/>
      <c r="D104" s="176"/>
      <c r="G104" s="188"/>
      <c r="H104" s="159"/>
    </row>
    <row r="105" spans="3:8" s="102" customFormat="1" x14ac:dyDescent="0.2">
      <c r="C105" s="181"/>
      <c r="D105" s="192"/>
      <c r="E105" s="181"/>
      <c r="F105" s="181"/>
      <c r="G105" s="188"/>
      <c r="H105" s="159"/>
    </row>
    <row r="106" spans="3:8" s="102" customFormat="1" x14ac:dyDescent="0.2">
      <c r="C106" s="191"/>
      <c r="D106" s="176"/>
      <c r="G106" s="188"/>
      <c r="H106" s="159"/>
    </row>
    <row r="107" spans="3:8" s="102" customFormat="1" x14ac:dyDescent="0.2">
      <c r="C107" s="190"/>
      <c r="D107" s="179"/>
      <c r="E107" s="181"/>
      <c r="F107" s="181"/>
      <c r="G107" s="188"/>
      <c r="H107" s="159"/>
    </row>
    <row r="108" spans="3:8" s="102" customFormat="1" x14ac:dyDescent="0.2">
      <c r="C108" s="190"/>
      <c r="D108" s="179"/>
      <c r="E108" s="181"/>
      <c r="F108" s="181"/>
      <c r="G108" s="188"/>
      <c r="H108" s="159"/>
    </row>
    <row r="109" spans="3:8" s="102" customFormat="1" x14ac:dyDescent="0.2">
      <c r="C109" s="190"/>
      <c r="D109" s="179"/>
      <c r="E109" s="181"/>
      <c r="F109" s="181"/>
      <c r="G109" s="188"/>
      <c r="H109" s="159"/>
    </row>
    <row r="110" spans="3:8" s="102" customFormat="1" x14ac:dyDescent="0.2">
      <c r="C110" s="190"/>
      <c r="D110" s="179"/>
      <c r="E110" s="181"/>
      <c r="F110" s="181"/>
      <c r="G110" s="188"/>
      <c r="H110" s="159"/>
    </row>
    <row r="111" spans="3:8" s="102" customFormat="1" x14ac:dyDescent="0.2">
      <c r="C111" s="190"/>
      <c r="D111" s="179"/>
      <c r="E111" s="181"/>
      <c r="F111" s="181"/>
      <c r="G111" s="188"/>
      <c r="H111" s="159"/>
    </row>
    <row r="112" spans="3:8" s="102" customFormat="1" x14ac:dyDescent="0.2">
      <c r="C112" s="191"/>
      <c r="D112" s="176"/>
      <c r="G112" s="188"/>
      <c r="H112" s="159"/>
    </row>
    <row r="113" spans="3:8" s="102" customFormat="1" x14ac:dyDescent="0.2">
      <c r="C113" s="181"/>
      <c r="D113" s="192"/>
      <c r="E113" s="181"/>
      <c r="F113" s="181"/>
      <c r="G113" s="188"/>
      <c r="H113" s="159"/>
    </row>
    <row r="114" spans="3:8" s="102" customFormat="1" x14ac:dyDescent="0.2">
      <c r="C114" s="191"/>
      <c r="D114" s="176"/>
      <c r="G114" s="188"/>
      <c r="H114" s="159"/>
    </row>
    <row r="115" spans="3:8" s="102" customFormat="1" x14ac:dyDescent="0.2">
      <c r="C115" s="190"/>
      <c r="D115" s="179"/>
      <c r="E115" s="181"/>
      <c r="F115" s="181"/>
      <c r="G115" s="188"/>
      <c r="H115" s="159"/>
    </row>
    <row r="116" spans="3:8" s="102" customFormat="1" x14ac:dyDescent="0.2">
      <c r="C116" s="190"/>
      <c r="D116" s="179"/>
      <c r="E116" s="181"/>
      <c r="F116" s="181"/>
      <c r="G116" s="188"/>
      <c r="H116" s="159"/>
    </row>
    <row r="117" spans="3:8" s="102" customFormat="1" x14ac:dyDescent="0.2">
      <c r="C117" s="190"/>
      <c r="D117" s="179"/>
      <c r="E117" s="181"/>
      <c r="F117" s="181"/>
      <c r="G117" s="188"/>
      <c r="H117" s="159"/>
    </row>
    <row r="118" spans="3:8" s="102" customFormat="1" x14ac:dyDescent="0.2">
      <c r="C118" s="191"/>
      <c r="D118" s="176"/>
      <c r="G118" s="188"/>
    </row>
    <row r="119" spans="3:8" s="102" customFormat="1" x14ac:dyDescent="0.2">
      <c r="C119" s="191"/>
      <c r="D119" s="176"/>
      <c r="E119" s="181"/>
      <c r="F119" s="181"/>
      <c r="G119" s="188"/>
    </row>
    <row r="120" spans="3:8" s="102" customFormat="1" x14ac:dyDescent="0.2">
      <c r="C120" s="191"/>
      <c r="D120" s="176"/>
      <c r="G120" s="188"/>
    </row>
    <row r="121" spans="3:8" s="102" customFormat="1" x14ac:dyDescent="0.2">
      <c r="C121" s="191"/>
      <c r="D121" s="176"/>
      <c r="G121" s="188"/>
    </row>
    <row r="122" spans="3:8" s="102" customFormat="1" x14ac:dyDescent="0.2">
      <c r="C122" s="191"/>
      <c r="D122" s="176"/>
      <c r="G122" s="188"/>
    </row>
    <row r="123" spans="3:8" s="102" customFormat="1" x14ac:dyDescent="0.2">
      <c r="C123" s="191"/>
      <c r="D123" s="176"/>
      <c r="G123" s="188"/>
    </row>
    <row r="124" spans="3:8" s="102" customFormat="1" x14ac:dyDescent="0.2">
      <c r="C124" s="191"/>
      <c r="D124" s="176"/>
      <c r="G124" s="188"/>
    </row>
    <row r="125" spans="3:8" s="102" customFormat="1" x14ac:dyDescent="0.2">
      <c r="C125" s="191"/>
      <c r="D125" s="176"/>
      <c r="G125" s="188"/>
    </row>
    <row r="126" spans="3:8" s="102" customFormat="1" x14ac:dyDescent="0.2">
      <c r="C126" s="191"/>
      <c r="D126" s="176"/>
      <c r="G126" s="188"/>
    </row>
    <row r="127" spans="3:8" s="102" customFormat="1" x14ac:dyDescent="0.2">
      <c r="C127" s="191"/>
      <c r="D127" s="176"/>
      <c r="G127" s="188"/>
    </row>
    <row r="128" spans="3:8" s="102" customFormat="1" x14ac:dyDescent="0.2"/>
    <row r="129" s="102" customFormat="1" x14ac:dyDescent="0.2"/>
    <row r="130" s="102" customFormat="1" x14ac:dyDescent="0.2"/>
    <row r="131" s="102" customFormat="1" x14ac:dyDescent="0.2"/>
    <row r="132" s="102" customFormat="1" x14ac:dyDescent="0.2"/>
    <row r="133" s="102" customFormat="1" x14ac:dyDescent="0.2"/>
    <row r="134" s="102" customFormat="1" x14ac:dyDescent="0.2"/>
    <row r="135" s="102" customFormat="1" x14ac:dyDescent="0.2"/>
    <row r="136" s="102" customFormat="1" x14ac:dyDescent="0.2"/>
    <row r="137" s="102" customFormat="1" x14ac:dyDescent="0.2"/>
    <row r="138" s="102" customFormat="1" x14ac:dyDescent="0.2"/>
    <row r="139" s="102" customFormat="1" x14ac:dyDescent="0.2"/>
    <row r="140" s="102" customFormat="1" x14ac:dyDescent="0.2"/>
    <row r="141" s="102" customFormat="1" x14ac:dyDescent="0.2"/>
    <row r="142" s="102" customFormat="1" x14ac:dyDescent="0.2"/>
    <row r="143" s="102" customFormat="1" x14ac:dyDescent="0.2"/>
    <row r="144" s="102" customFormat="1" x14ac:dyDescent="0.2"/>
    <row r="145" s="102" customFormat="1" x14ac:dyDescent="0.2"/>
    <row r="146" s="102" customFormat="1" x14ac:dyDescent="0.2"/>
    <row r="147" s="102" customFormat="1" x14ac:dyDescent="0.2"/>
    <row r="148" s="102" customFormat="1" x14ac:dyDescent="0.2"/>
    <row r="149" s="102" customFormat="1" x14ac:dyDescent="0.2"/>
    <row r="150" s="102" customFormat="1" x14ac:dyDescent="0.2"/>
    <row r="151" s="102" customFormat="1" x14ac:dyDescent="0.2"/>
    <row r="152" s="102" customFormat="1" x14ac:dyDescent="0.2"/>
    <row r="153" s="102" customFormat="1" x14ac:dyDescent="0.2"/>
    <row r="154" s="102" customFormat="1" x14ac:dyDescent="0.2"/>
    <row r="155" s="102" customFormat="1" x14ac:dyDescent="0.2"/>
    <row r="156" s="102" customFormat="1" x14ac:dyDescent="0.2"/>
    <row r="157" s="102" customFormat="1" x14ac:dyDescent="0.2"/>
    <row r="158" s="102" customFormat="1" x14ac:dyDescent="0.2"/>
    <row r="159" s="102" customFormat="1" x14ac:dyDescent="0.2"/>
    <row r="160" s="102" customFormat="1" x14ac:dyDescent="0.2"/>
    <row r="161" s="102" customFormat="1" x14ac:dyDescent="0.2"/>
    <row r="162" s="102" customFormat="1" x14ac:dyDescent="0.2"/>
    <row r="163" s="102" customFormat="1" x14ac:dyDescent="0.2"/>
    <row r="164" s="102" customFormat="1" x14ac:dyDescent="0.2"/>
    <row r="165" s="102" customFormat="1" x14ac:dyDescent="0.2"/>
    <row r="166" s="102" customFormat="1" x14ac:dyDescent="0.2"/>
    <row r="167" s="102" customFormat="1" x14ac:dyDescent="0.2"/>
    <row r="168" s="102" customFormat="1" x14ac:dyDescent="0.2"/>
    <row r="169" s="102" customFormat="1" x14ac:dyDescent="0.2"/>
    <row r="170" s="102" customFormat="1" x14ac:dyDescent="0.2"/>
    <row r="171" s="102" customFormat="1" x14ac:dyDescent="0.2"/>
    <row r="172" s="102" customFormat="1" x14ac:dyDescent="0.2"/>
    <row r="173" s="102" customFormat="1" x14ac:dyDescent="0.2"/>
    <row r="174" s="102" customFormat="1" x14ac:dyDescent="0.2"/>
    <row r="175" s="102" customFormat="1" x14ac:dyDescent="0.2"/>
    <row r="176" s="102" customFormat="1" x14ac:dyDescent="0.2"/>
    <row r="177" s="102" customFormat="1" x14ac:dyDescent="0.2"/>
    <row r="178" s="102" customFormat="1" x14ac:dyDescent="0.2"/>
    <row r="179" s="102" customFormat="1" x14ac:dyDescent="0.2"/>
    <row r="180" s="102" customFormat="1" x14ac:dyDescent="0.2"/>
    <row r="181" s="102" customFormat="1" x14ac:dyDescent="0.2"/>
    <row r="182" s="102" customFormat="1" x14ac:dyDescent="0.2"/>
    <row r="183" s="102" customFormat="1" x14ac:dyDescent="0.2"/>
    <row r="184" s="102" customFormat="1" x14ac:dyDescent="0.2"/>
    <row r="185" s="102" customFormat="1" x14ac:dyDescent="0.2"/>
    <row r="186" s="102" customFormat="1" x14ac:dyDescent="0.2"/>
  </sheetData>
  <sheetProtection algorithmName="SHA-512" hashValue="KmdWm8VlOzG2k8MQTq6fb/EKeCt1Vu9zeYhta7SA6wFgzcU0BuVEJr0EpcoZq0VzG2jmvC9TAgaHM7LMNyi/YA==" saltValue="vgRwwnwBTyC8taQ7A49TXw==" spinCount="100000" sheet="1" objects="1" scenarios="1"/>
  <sortState xmlns:xlrd2="http://schemas.microsoft.com/office/spreadsheetml/2017/richdata2" ref="A11:D25">
    <sortCondition ref="A10"/>
  </sortState>
  <customSheetViews>
    <customSheetView guid="{4B7E793F-FF7C-4BA4-8EC7-9B719AA3D607}">
      <pane xSplit="5" topLeftCell="F1" activePane="topRight" state="frozen"/>
      <selection pane="topRight" activeCell="C5" sqref="C5"/>
      <pageMargins left="0.7" right="0.7" top="0.75" bottom="0.75" header="0.3" footer="0.3"/>
      <pageSetup orientation="portrait" r:id="rId1"/>
    </customSheetView>
  </customSheetViews>
  <dataValidations xWindow="498" yWindow="416" count="2">
    <dataValidation type="list" allowBlank="1" showInputMessage="1" showErrorMessage="1" sqref="D10:D73" xr:uid="{00000000-0002-0000-0E00-000000000000}">
      <formula1>"YES, NO"</formula1>
    </dataValidation>
    <dataValidation type="list" allowBlank="1" showInputMessage="1" showErrorMessage="1" sqref="C10:C71" xr:uid="{00000000-0002-0000-0E00-000001000000}">
      <formula1>Physician_Type_Practice</formula1>
    </dataValidation>
  </dataValidations>
  <pageMargins left="0.7" right="0.7" top="0.75" bottom="0.75" header="0.3" footer="0.3"/>
  <pageSetup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5" name="Button 6">
              <controlPr defaultSize="0" print="0" autoFill="0" autoPict="0" macro="[0]!PrintButton_Click">
                <anchor moveWithCells="1" sizeWithCells="1">
                  <from>
                    <xdr:col>3</xdr:col>
                    <xdr:colOff>9525</xdr:colOff>
                    <xdr:row>4</xdr:row>
                    <xdr:rowOff>0</xdr:rowOff>
                  </from>
                  <to>
                    <xdr:col>4</xdr:col>
                    <xdr:colOff>19050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498" yWindow="416" count="1">
        <x14:dataValidation type="list" allowBlank="1" showInputMessage="1" showErrorMessage="1" xr:uid="{00000000-0002-0000-0E00-000002000000}">
          <x14:formula1>
            <xm:f>'Physician Types'!$D$81:$D$82</xm:f>
          </x14:formula1>
          <xm:sqref>F10:F72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8"/>
  <dimension ref="A1:V71"/>
  <sheetViews>
    <sheetView workbookViewId="0">
      <selection activeCell="A8" sqref="A8:B8"/>
    </sheetView>
  </sheetViews>
  <sheetFormatPr defaultColWidth="8.85546875" defaultRowHeight="12.75" x14ac:dyDescent="0.2"/>
  <cols>
    <col min="1" max="2" width="18.7109375" style="102" customWidth="1"/>
    <col min="3" max="3" width="33.42578125" style="102" bestFit="1" customWidth="1"/>
    <col min="4" max="4" width="14.28515625" style="102" customWidth="1"/>
    <col min="5" max="5" width="8.85546875" style="102"/>
    <col min="6" max="6" width="4.28515625" style="102" customWidth="1"/>
    <col min="7" max="7" width="10.7109375" style="102" bestFit="1" customWidth="1"/>
    <col min="8" max="8" width="8.85546875" style="102"/>
    <col min="9" max="12" width="10.5703125" style="102" customWidth="1"/>
    <col min="13" max="22" width="8.85546875" style="102"/>
    <col min="23" max="16384" width="8.85546875" style="77"/>
  </cols>
  <sheetData>
    <row r="1" spans="1:21" s="102" customFormat="1" ht="15.75" x14ac:dyDescent="0.25">
      <c r="A1" s="123" t="str">
        <f>'Hospital Input Page'!A1</f>
        <v>Grover Dils</v>
      </c>
      <c r="B1" s="123"/>
      <c r="I1" s="123" t="s">
        <v>141</v>
      </c>
    </row>
    <row r="2" spans="1:21" s="102" customFormat="1" ht="15.75" x14ac:dyDescent="0.25">
      <c r="A2" s="123" t="str">
        <f>'Hospital Input Page'!A2</f>
        <v>LiCON MONTHLY REPORT FORM (MRF)</v>
      </c>
      <c r="B2" s="123"/>
      <c r="I2" s="108" t="s">
        <v>121</v>
      </c>
    </row>
    <row r="3" spans="1:21" s="102" customFormat="1" ht="15.75" x14ac:dyDescent="0.25">
      <c r="A3" s="152" t="str">
        <f>'Hospital Input Page'!A3</f>
        <v>For the Year Ending June 30, 2020</v>
      </c>
      <c r="B3" s="152"/>
      <c r="I3" s="127" t="s">
        <v>122</v>
      </c>
    </row>
    <row r="4" spans="1:21" s="102" customFormat="1" x14ac:dyDescent="0.2">
      <c r="D4" s="128" t="s">
        <v>133</v>
      </c>
      <c r="I4" s="127" t="s">
        <v>123</v>
      </c>
    </row>
    <row r="5" spans="1:21" s="102" customFormat="1" x14ac:dyDescent="0.2">
      <c r="A5" s="128"/>
      <c r="B5" s="128"/>
      <c r="C5" s="129" t="s">
        <v>132</v>
      </c>
      <c r="D5" s="129"/>
      <c r="I5" s="127" t="s">
        <v>124</v>
      </c>
    </row>
    <row r="6" spans="1:21" s="102" customFormat="1" x14ac:dyDescent="0.2">
      <c r="G6" s="100">
        <f>'Hospital Input Page'!F6</f>
        <v>2019</v>
      </c>
      <c r="H6" s="101"/>
      <c r="I6" s="100"/>
      <c r="J6" s="100"/>
      <c r="K6" s="100"/>
      <c r="L6" s="100"/>
      <c r="M6" s="100">
        <f>'Hospital Input Page'!L6</f>
        <v>2020</v>
      </c>
      <c r="N6" s="100"/>
      <c r="O6" s="100"/>
      <c r="P6" s="100"/>
      <c r="Q6" s="101"/>
      <c r="R6" s="101"/>
    </row>
    <row r="7" spans="1:21" s="102" customFormat="1" x14ac:dyDescent="0.2">
      <c r="A7" s="108" t="s">
        <v>151</v>
      </c>
      <c r="B7" s="108"/>
      <c r="G7" s="100" t="s">
        <v>142</v>
      </c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</row>
    <row r="8" spans="1:21" s="102" customFormat="1" ht="51.75" thickBot="1" x14ac:dyDescent="0.25">
      <c r="A8" s="130" t="s">
        <v>158</v>
      </c>
      <c r="B8" s="130" t="s">
        <v>159</v>
      </c>
      <c r="C8" s="130" t="s">
        <v>150</v>
      </c>
      <c r="D8" s="109" t="s">
        <v>94</v>
      </c>
      <c r="E8" s="109" t="s">
        <v>108</v>
      </c>
      <c r="F8" s="109"/>
      <c r="G8" s="109" t="s">
        <v>95</v>
      </c>
      <c r="H8" s="109" t="s">
        <v>96</v>
      </c>
      <c r="I8" s="109" t="s">
        <v>97</v>
      </c>
      <c r="J8" s="131" t="s">
        <v>98</v>
      </c>
      <c r="K8" s="131" t="s">
        <v>99</v>
      </c>
      <c r="L8" s="109" t="s">
        <v>107</v>
      </c>
      <c r="M8" s="131" t="s">
        <v>100</v>
      </c>
      <c r="N8" s="131" t="s">
        <v>101</v>
      </c>
      <c r="O8" s="131" t="s">
        <v>102</v>
      </c>
      <c r="P8" s="131" t="s">
        <v>103</v>
      </c>
      <c r="Q8" s="131" t="s">
        <v>104</v>
      </c>
      <c r="R8" s="131" t="s">
        <v>105</v>
      </c>
      <c r="S8" s="131" t="s">
        <v>106</v>
      </c>
    </row>
    <row r="9" spans="1:21" s="102" customFormat="1" x14ac:dyDescent="0.2">
      <c r="A9" s="78"/>
      <c r="B9" s="78"/>
      <c r="C9" s="79"/>
      <c r="D9" s="78"/>
      <c r="E9" s="132" t="e">
        <f t="array" ref="E9">INDEX('Physician Types'!$D$9:$D$72,MATCH('Physician Minutes Input Page'!C9,'Physician Types'!$C$9:$C$72,0))*IF(D9="Yes",(1+'Physician Types'!$E$4),1)</f>
        <v>#N/A</v>
      </c>
      <c r="F9" s="79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135">
        <f>SUM(G9:R9)</f>
        <v>0</v>
      </c>
    </row>
    <row r="10" spans="1:21" s="102" customFormat="1" x14ac:dyDescent="0.2">
      <c r="A10" s="81"/>
      <c r="B10" s="81"/>
      <c r="C10" s="82"/>
      <c r="D10" s="81"/>
      <c r="E10" s="133" t="e">
        <f t="array" ref="E10">INDEX('Physician Types'!$D$9:$D$72,MATCH('Physician Minutes Input Page'!C10,'Physician Types'!$C$9:$C$72,0))*IF(D10="Yes",(1+'Physician Types'!$E$4),1)</f>
        <v>#N/A</v>
      </c>
      <c r="F10" s="82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136">
        <f t="shared" ref="S10:S70" si="0">SUM(G10:R10)</f>
        <v>0</v>
      </c>
      <c r="U10" s="128"/>
    </row>
    <row r="11" spans="1:21" s="102" customFormat="1" x14ac:dyDescent="0.2">
      <c r="A11" s="81"/>
      <c r="B11" s="81"/>
      <c r="C11" s="82"/>
      <c r="D11" s="81"/>
      <c r="E11" s="133" t="e">
        <f t="array" ref="E11">INDEX('Physician Types'!$D$9:$D$72,MATCH('Physician Minutes Input Page'!C11,'Physician Types'!$C$9:$C$72,0))*IF(D11="Yes",(1+'Physician Types'!$E$4),1)</f>
        <v>#N/A</v>
      </c>
      <c r="F11" s="84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136">
        <f t="shared" si="0"/>
        <v>0</v>
      </c>
      <c r="U11" s="128"/>
    </row>
    <row r="12" spans="1:21" s="102" customFormat="1" x14ac:dyDescent="0.2">
      <c r="A12" s="81"/>
      <c r="B12" s="81"/>
      <c r="C12" s="82"/>
      <c r="D12" s="81"/>
      <c r="E12" s="133" t="e">
        <f t="array" ref="E12">INDEX('Physician Types'!$D$9:$D$72,MATCH('Physician Minutes Input Page'!C12,'Physician Types'!$C$9:$C$72,0))*IF(D12="Yes",(1+'Physician Types'!$E$4),1)</f>
        <v>#N/A</v>
      </c>
      <c r="F12" s="84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136">
        <f t="shared" si="0"/>
        <v>0</v>
      </c>
      <c r="U12" s="128"/>
    </row>
    <row r="13" spans="1:21" s="102" customFormat="1" x14ac:dyDescent="0.2">
      <c r="A13" s="81"/>
      <c r="B13" s="81"/>
      <c r="C13" s="82"/>
      <c r="D13" s="81"/>
      <c r="E13" s="133" t="e">
        <f t="array" ref="E13">INDEX('Physician Types'!$D$9:$D$72,MATCH('Physician Minutes Input Page'!C13,'Physician Types'!$C$9:$C$72,0))*IF(D13="Yes",(1+'Physician Types'!$E$4),1)</f>
        <v>#N/A</v>
      </c>
      <c r="F13" s="84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136">
        <f t="shared" si="0"/>
        <v>0</v>
      </c>
      <c r="U13" s="128"/>
    </row>
    <row r="14" spans="1:21" s="102" customFormat="1" x14ac:dyDescent="0.2">
      <c r="A14" s="81"/>
      <c r="B14" s="81"/>
      <c r="C14" s="82"/>
      <c r="D14" s="81"/>
      <c r="E14" s="133" t="e">
        <f t="array" ref="E14">INDEX('Physician Types'!$D$9:$D$72,MATCH('Physician Minutes Input Page'!C14,'Physician Types'!$C$9:$C$72,0))*IF(D14="Yes",(1+'Physician Types'!$E$4),1)</f>
        <v>#N/A</v>
      </c>
      <c r="F14" s="84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136">
        <f t="shared" si="0"/>
        <v>0</v>
      </c>
      <c r="U14" s="128"/>
    </row>
    <row r="15" spans="1:21" s="102" customFormat="1" x14ac:dyDescent="0.2">
      <c r="A15" s="81"/>
      <c r="B15" s="81"/>
      <c r="C15" s="82"/>
      <c r="D15" s="81"/>
      <c r="E15" s="133" t="e">
        <f t="array" ref="E15">INDEX('Physician Types'!$D$9:$D$72,MATCH('Physician Minutes Input Page'!C15,'Physician Types'!$C$9:$C$72,0))*IF(D15="Yes",(1+'Physician Types'!$E$4),1)</f>
        <v>#N/A</v>
      </c>
      <c r="F15" s="84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136">
        <f t="shared" si="0"/>
        <v>0</v>
      </c>
      <c r="U15" s="128"/>
    </row>
    <row r="16" spans="1:21" s="102" customFormat="1" x14ac:dyDescent="0.2">
      <c r="A16" s="81"/>
      <c r="B16" s="81"/>
      <c r="C16" s="82"/>
      <c r="D16" s="81"/>
      <c r="E16" s="133" t="e">
        <f t="array" ref="E16">INDEX('Physician Types'!$D$9:$D$72,MATCH('Physician Minutes Input Page'!C16,'Physician Types'!$C$9:$C$72,0))*IF(D16="Yes",(1+'Physician Types'!$E$4),1)</f>
        <v>#N/A</v>
      </c>
      <c r="F16" s="84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136">
        <f t="shared" si="0"/>
        <v>0</v>
      </c>
      <c r="U16" s="128"/>
    </row>
    <row r="17" spans="1:22" s="102" customFormat="1" x14ac:dyDescent="0.2">
      <c r="A17" s="81"/>
      <c r="B17" s="81"/>
      <c r="C17" s="82"/>
      <c r="D17" s="81"/>
      <c r="E17" s="133" t="e">
        <f t="array" ref="E17">INDEX('Physician Types'!$D$9:$D$72,MATCH('Physician Minutes Input Page'!C17,'Physician Types'!$C$9:$C$72,0))*IF(D17="Yes",(1+'Physician Types'!$E$4),1)</f>
        <v>#N/A</v>
      </c>
      <c r="F17" s="84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136">
        <f t="shared" si="0"/>
        <v>0</v>
      </c>
      <c r="U17" s="128"/>
    </row>
    <row r="18" spans="1:22" s="102" customFormat="1" x14ac:dyDescent="0.2">
      <c r="A18" s="81"/>
      <c r="B18" s="81"/>
      <c r="C18" s="81"/>
      <c r="D18" s="81"/>
      <c r="E18" s="133" t="e">
        <f t="array" ref="E18">INDEX('Physician Types'!$D$9:$D$72,MATCH('Physician Minutes Input Page'!C18,'Physician Types'!$C$9:$C$72,0))*IF(D18="Yes",(1+'Physician Types'!$E$4),1)</f>
        <v>#N/A</v>
      </c>
      <c r="F18" s="84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136">
        <f t="shared" si="0"/>
        <v>0</v>
      </c>
      <c r="U18" s="128"/>
    </row>
    <row r="19" spans="1:22" s="102" customFormat="1" x14ac:dyDescent="0.2">
      <c r="A19" s="81"/>
      <c r="B19" s="81"/>
      <c r="C19" s="82"/>
      <c r="D19" s="81"/>
      <c r="E19" s="133" t="e">
        <f>INDEX('Physician Types'!$D$9:$D$72,MATCH('Physician Minutes Input Page'!C19,'Physician Types'!$C$9:$C$72,0))*IF(D19="Yes",(1+'Physician Types'!$E$4),1)</f>
        <v>#N/A</v>
      </c>
      <c r="F19" s="84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136">
        <f t="shared" si="0"/>
        <v>0</v>
      </c>
      <c r="U19" s="183"/>
      <c r="V19" s="183"/>
    </row>
    <row r="20" spans="1:22" s="102" customFormat="1" x14ac:dyDescent="0.2">
      <c r="A20" s="81"/>
      <c r="B20" s="81"/>
      <c r="C20" s="82"/>
      <c r="D20" s="81"/>
      <c r="E20" s="133" t="e">
        <f>INDEX('Physician Types'!$D$9:$D$72,MATCH('Physician Minutes Input Page'!C20,'Physician Types'!$C$9:$C$72,0))*IF(D20="Yes",(1+'Physician Types'!$E$4),1)</f>
        <v>#N/A</v>
      </c>
      <c r="F20" s="84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136">
        <f t="shared" si="0"/>
        <v>0</v>
      </c>
      <c r="U20" s="128"/>
    </row>
    <row r="21" spans="1:22" s="102" customFormat="1" x14ac:dyDescent="0.2">
      <c r="A21" s="82"/>
      <c r="B21" s="82"/>
      <c r="C21" s="82"/>
      <c r="D21" s="81"/>
      <c r="E21" s="133" t="e">
        <f t="array" ref="E21">INDEX('Physician Types'!$D$9:$D$72,MATCH('Physician Minutes Input Page'!C21,'Physician Types'!$C$9:$C$72,0))*IF(D21="Yes",(1+'Physician Types'!$E$4),1)</f>
        <v>#N/A</v>
      </c>
      <c r="F21" s="84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136">
        <f t="shared" si="0"/>
        <v>0</v>
      </c>
      <c r="U21" s="128"/>
    </row>
    <row r="22" spans="1:22" s="102" customFormat="1" x14ac:dyDescent="0.2">
      <c r="A22" s="81"/>
      <c r="B22" s="81"/>
      <c r="C22" s="82"/>
      <c r="D22" s="85"/>
      <c r="E22" s="133" t="e">
        <f t="array" ref="E22">INDEX('Physician Types'!$D$9:$D$72,MATCH('Physician Minutes Input Page'!C22,'Physician Types'!$C$9:$C$72,0))*IF(D22="Yes",(1+'Physician Types'!$E$4),1)</f>
        <v>#N/A</v>
      </c>
      <c r="F22" s="84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136">
        <f t="shared" si="0"/>
        <v>0</v>
      </c>
      <c r="U22" s="189"/>
      <c r="V22" s="189"/>
    </row>
    <row r="23" spans="1:22" s="102" customFormat="1" x14ac:dyDescent="0.2">
      <c r="A23" s="82"/>
      <c r="B23" s="82"/>
      <c r="C23" s="82"/>
      <c r="D23" s="85"/>
      <c r="E23" s="133" t="e">
        <f t="array" ref="E23">INDEX('Physician Types'!$D$9:$D$72,MATCH('Physician Minutes Input Page'!C23,'Physician Types'!$C$9:$C$72,0))*IF(D23="Yes",(1+'Physician Types'!$E$4),1)</f>
        <v>#N/A</v>
      </c>
      <c r="F23" s="84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136">
        <f t="shared" si="0"/>
        <v>0</v>
      </c>
    </row>
    <row r="24" spans="1:22" s="102" customFormat="1" x14ac:dyDescent="0.2">
      <c r="A24" s="82"/>
      <c r="B24" s="82"/>
      <c r="C24" s="82"/>
      <c r="D24" s="85"/>
      <c r="E24" s="133" t="e">
        <f t="array" ref="E24">INDEX('Physician Types'!$D$9:$D$72,MATCH('Physician Minutes Input Page'!C24,'Physician Types'!$C$9:$C$72,0))*IF(D24="Yes",(1+'Physician Types'!$E$4),1)</f>
        <v>#N/A</v>
      </c>
      <c r="F24" s="84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136">
        <f t="shared" si="0"/>
        <v>0</v>
      </c>
    </row>
    <row r="25" spans="1:22" s="102" customFormat="1" x14ac:dyDescent="0.2">
      <c r="A25" s="82"/>
      <c r="B25" s="82"/>
      <c r="C25" s="82"/>
      <c r="D25" s="85"/>
      <c r="E25" s="133" t="e">
        <f t="array" ref="E25">INDEX('Physician Types'!$D$9:$D$72,MATCH('Physician Minutes Input Page'!C25,'Physician Types'!$C$9:$C$72,0))*IF(D25="Yes",(1+'Physician Types'!$E$4),1)</f>
        <v>#N/A</v>
      </c>
      <c r="F25" s="84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136">
        <f t="shared" si="0"/>
        <v>0</v>
      </c>
    </row>
    <row r="26" spans="1:22" s="102" customFormat="1" x14ac:dyDescent="0.2">
      <c r="A26" s="82"/>
      <c r="B26" s="82"/>
      <c r="C26" s="82"/>
      <c r="D26" s="85"/>
      <c r="E26" s="133" t="e">
        <f t="array" ref="E26">INDEX('Physician Types'!$D$9:$D$72,MATCH('Physician Minutes Input Page'!C26,'Physician Types'!$C$9:$C$72,0))*IF(D26="Yes",(1+'Physician Types'!$E$4),1)</f>
        <v>#N/A</v>
      </c>
      <c r="F26" s="84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136">
        <f t="shared" si="0"/>
        <v>0</v>
      </c>
    </row>
    <row r="27" spans="1:22" s="102" customFormat="1" x14ac:dyDescent="0.2">
      <c r="A27" s="82"/>
      <c r="B27" s="82"/>
      <c r="C27" s="82"/>
      <c r="D27" s="85"/>
      <c r="E27" s="133" t="e">
        <f t="array" ref="E27">INDEX('Physician Types'!$D$9:$D$72,MATCH('Physician Minutes Input Page'!C27,'Physician Types'!$C$9:$C$72,0))*IF(D27="Yes",(1+'Physician Types'!$E$4),1)</f>
        <v>#N/A</v>
      </c>
      <c r="F27" s="84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136">
        <f t="shared" si="0"/>
        <v>0</v>
      </c>
    </row>
    <row r="28" spans="1:22" s="102" customFormat="1" x14ac:dyDescent="0.2">
      <c r="A28" s="82"/>
      <c r="B28" s="82"/>
      <c r="C28" s="82"/>
      <c r="D28" s="85"/>
      <c r="E28" s="133" t="e">
        <f t="array" ref="E28">INDEX('Physician Types'!$D$9:$D$72,MATCH('Physician Minutes Input Page'!C28,'Physician Types'!$C$9:$C$72,0))*IF(D28="Yes",(1+'Physician Types'!$E$4),1)</f>
        <v>#N/A</v>
      </c>
      <c r="F28" s="84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136">
        <f t="shared" si="0"/>
        <v>0</v>
      </c>
    </row>
    <row r="29" spans="1:22" s="102" customFormat="1" x14ac:dyDescent="0.2">
      <c r="A29" s="81"/>
      <c r="B29" s="81"/>
      <c r="C29" s="82"/>
      <c r="D29" s="85"/>
      <c r="E29" s="133" t="e">
        <f t="array" ref="E29">INDEX('Physician Types'!$D$9:$D$72,MATCH('Physician Minutes Input Page'!C29,'Physician Types'!$C$9:$C$72,0))*IF(D29="Yes",(1+'Physician Types'!$E$4),1)</f>
        <v>#N/A</v>
      </c>
      <c r="F29" s="84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6"/>
      <c r="S29" s="136">
        <f t="shared" si="0"/>
        <v>0</v>
      </c>
    </row>
    <row r="30" spans="1:22" s="102" customFormat="1" x14ac:dyDescent="0.2">
      <c r="A30" s="81"/>
      <c r="B30" s="81"/>
      <c r="C30" s="82"/>
      <c r="D30" s="85"/>
      <c r="E30" s="133" t="e">
        <f t="array" ref="E30">INDEX('Physician Types'!$D$9:$D$72,MATCH('Physician Minutes Input Page'!C30,'Physician Types'!$C$9:$C$72,0))*IF(D30="Yes",(1+'Physician Types'!$E$4),1)</f>
        <v>#N/A</v>
      </c>
      <c r="F30" s="84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6"/>
      <c r="S30" s="136">
        <f t="shared" si="0"/>
        <v>0</v>
      </c>
    </row>
    <row r="31" spans="1:22" s="102" customFormat="1" x14ac:dyDescent="0.2">
      <c r="A31" s="82"/>
      <c r="B31" s="82"/>
      <c r="C31" s="82"/>
      <c r="D31" s="85"/>
      <c r="E31" s="133" t="e">
        <f t="array" ref="E31">INDEX('Physician Types'!$D$9:$D$72,MATCH('Physician Minutes Input Page'!C31,'Physician Types'!$C$9:$C$72,0))*IF(D31="Yes",(1+'Physician Types'!$E$4),1)</f>
        <v>#N/A</v>
      </c>
      <c r="F31" s="84"/>
      <c r="G31" s="87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6"/>
      <c r="S31" s="136">
        <f t="shared" si="0"/>
        <v>0</v>
      </c>
    </row>
    <row r="32" spans="1:22" s="102" customFormat="1" x14ac:dyDescent="0.2">
      <c r="A32" s="81"/>
      <c r="B32" s="81"/>
      <c r="C32" s="82"/>
      <c r="D32" s="85"/>
      <c r="E32" s="133" t="e">
        <f t="array" ref="E32">INDEX('Physician Types'!$D$9:$D$72,MATCH('Physician Minutes Input Page'!C32,'Physician Types'!$C$9:$C$72,0))*IF(D32="Yes",(1+'Physician Types'!$E$4),1)</f>
        <v>#N/A</v>
      </c>
      <c r="F32" s="84"/>
      <c r="G32" s="87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6"/>
      <c r="S32" s="136">
        <f t="shared" si="0"/>
        <v>0</v>
      </c>
    </row>
    <row r="33" spans="1:19" s="102" customFormat="1" x14ac:dyDescent="0.2">
      <c r="A33" s="82"/>
      <c r="B33" s="82"/>
      <c r="C33" s="82"/>
      <c r="D33" s="85"/>
      <c r="E33" s="133" t="e">
        <f t="array" ref="E33">INDEX('Physician Types'!$D$9:$D$72,MATCH('Physician Minutes Input Page'!C33,'Physician Types'!$C$9:$C$72,0))*IF(D33="Yes",(1+'Physician Types'!$E$4),1)</f>
        <v>#N/A</v>
      </c>
      <c r="F33" s="84"/>
      <c r="G33" s="87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6"/>
      <c r="S33" s="136">
        <f t="shared" si="0"/>
        <v>0</v>
      </c>
    </row>
    <row r="34" spans="1:19" s="102" customFormat="1" x14ac:dyDescent="0.2">
      <c r="A34" s="82"/>
      <c r="B34" s="82"/>
      <c r="C34" s="82"/>
      <c r="D34" s="85"/>
      <c r="E34" s="133" t="e">
        <f t="array" ref="E34">INDEX('Physician Types'!$D$9:$D$72,MATCH('Physician Minutes Input Page'!C34,'Physician Types'!$C$9:$C$72,0))*IF(D34="Yes",(1+'Physician Types'!$E$4),1)</f>
        <v>#N/A</v>
      </c>
      <c r="F34" s="84"/>
      <c r="G34" s="87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6"/>
      <c r="S34" s="136">
        <f t="shared" si="0"/>
        <v>0</v>
      </c>
    </row>
    <row r="35" spans="1:19" s="102" customFormat="1" x14ac:dyDescent="0.2">
      <c r="A35" s="82"/>
      <c r="B35" s="82"/>
      <c r="C35" s="82"/>
      <c r="D35" s="85"/>
      <c r="E35" s="133" t="e">
        <f t="array" ref="E35">INDEX('Physician Types'!$D$9:$D$72,MATCH('Physician Minutes Input Page'!C35,'Physician Types'!$C$9:$C$72,0))*IF(D35="Yes",(1+'Physician Types'!$E$4),1)</f>
        <v>#N/A</v>
      </c>
      <c r="F35" s="84"/>
      <c r="G35" s="87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6"/>
      <c r="S35" s="136">
        <f t="shared" si="0"/>
        <v>0</v>
      </c>
    </row>
    <row r="36" spans="1:19" s="102" customFormat="1" x14ac:dyDescent="0.2">
      <c r="A36" s="82"/>
      <c r="B36" s="82"/>
      <c r="C36" s="82"/>
      <c r="D36" s="85"/>
      <c r="E36" s="133" t="e">
        <f t="array" ref="E36">INDEX('Physician Types'!$D$9:$D$72,MATCH('Physician Minutes Input Page'!C36,'Physician Types'!$C$9:$C$72,0))*IF(D36="Yes",(1+'Physician Types'!$E$4),1)</f>
        <v>#N/A</v>
      </c>
      <c r="F36" s="84"/>
      <c r="G36" s="87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6"/>
      <c r="S36" s="136">
        <f t="shared" si="0"/>
        <v>0</v>
      </c>
    </row>
    <row r="37" spans="1:19" s="102" customFormat="1" x14ac:dyDescent="0.2">
      <c r="A37" s="82"/>
      <c r="B37" s="82"/>
      <c r="C37" s="82"/>
      <c r="D37" s="85"/>
      <c r="E37" s="133" t="e">
        <f t="array" ref="E37">INDEX('Physician Types'!$D$9:$D$72,MATCH('Physician Minutes Input Page'!C37,'Physician Types'!$C$9:$C$72,0))*IF(D37="Yes",(1+'Physician Types'!$E$4),1)</f>
        <v>#N/A</v>
      </c>
      <c r="F37" s="84"/>
      <c r="G37" s="87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6"/>
      <c r="S37" s="136">
        <f t="shared" si="0"/>
        <v>0</v>
      </c>
    </row>
    <row r="38" spans="1:19" s="102" customFormat="1" x14ac:dyDescent="0.2">
      <c r="A38" s="82"/>
      <c r="B38" s="82"/>
      <c r="C38" s="82"/>
      <c r="D38" s="85"/>
      <c r="E38" s="133" t="e">
        <f t="array" ref="E38">INDEX('Physician Types'!$D$9:$D$72,MATCH('Physician Minutes Input Page'!C38,'Physician Types'!$C$9:$C$72,0))*IF(D38="Yes",(1+'Physician Types'!$E$4),1)</f>
        <v>#N/A</v>
      </c>
      <c r="F38" s="84"/>
      <c r="G38" s="87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6"/>
      <c r="S38" s="136">
        <f t="shared" si="0"/>
        <v>0</v>
      </c>
    </row>
    <row r="39" spans="1:19" s="102" customFormat="1" x14ac:dyDescent="0.2">
      <c r="A39" s="82"/>
      <c r="B39" s="82"/>
      <c r="C39" s="82"/>
      <c r="D39" s="85"/>
      <c r="E39" s="133" t="e">
        <f t="array" ref="E39">INDEX('Physician Types'!$D$9:$D$72,MATCH('Physician Minutes Input Page'!C39,'Physician Types'!$C$9:$C$72,0))*IF(D39="Yes",(1+'Physician Types'!$E$4),1)</f>
        <v>#N/A</v>
      </c>
      <c r="F39" s="84"/>
      <c r="G39" s="87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6"/>
      <c r="S39" s="136">
        <f t="shared" si="0"/>
        <v>0</v>
      </c>
    </row>
    <row r="40" spans="1:19" s="102" customFormat="1" x14ac:dyDescent="0.2">
      <c r="A40" s="82"/>
      <c r="B40" s="82"/>
      <c r="C40" s="82"/>
      <c r="D40" s="85"/>
      <c r="E40" s="133" t="e">
        <f t="array" ref="E40">INDEX('Physician Types'!$D$9:$D$72,MATCH('Physician Minutes Input Page'!C40,'Physician Types'!$C$9:$C$72,0))*IF(D40="Yes",(1+'Physician Types'!$E$4),1)</f>
        <v>#N/A</v>
      </c>
      <c r="F40" s="84"/>
      <c r="G40" s="87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6"/>
      <c r="S40" s="136">
        <f t="shared" si="0"/>
        <v>0</v>
      </c>
    </row>
    <row r="41" spans="1:19" s="102" customFormat="1" x14ac:dyDescent="0.2">
      <c r="A41" s="82"/>
      <c r="B41" s="82"/>
      <c r="C41" s="82"/>
      <c r="D41" s="85"/>
      <c r="E41" s="133" t="e">
        <f t="array" ref="E41">INDEX('Physician Types'!$D$9:$D$72,MATCH('Physician Minutes Input Page'!C41,'Physician Types'!$C$9:$C$72,0))*IF(D41="Yes",(1+'Physician Types'!$E$4),1)</f>
        <v>#N/A</v>
      </c>
      <c r="F41" s="84"/>
      <c r="G41" s="87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6"/>
      <c r="S41" s="136">
        <f t="shared" si="0"/>
        <v>0</v>
      </c>
    </row>
    <row r="42" spans="1:19" s="102" customFormat="1" x14ac:dyDescent="0.2">
      <c r="A42" s="82"/>
      <c r="B42" s="82"/>
      <c r="C42" s="82"/>
      <c r="D42" s="85"/>
      <c r="E42" s="133" t="e">
        <f t="array" ref="E42">INDEX('Physician Types'!$D$9:$D$72,MATCH('Physician Minutes Input Page'!C42,'Physician Types'!$C$9:$C$72,0))*IF(D42="Yes",(1+'Physician Types'!$E$4),1)</f>
        <v>#N/A</v>
      </c>
      <c r="F42" s="84"/>
      <c r="G42" s="87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6"/>
      <c r="S42" s="136">
        <f t="shared" si="0"/>
        <v>0</v>
      </c>
    </row>
    <row r="43" spans="1:19" s="102" customFormat="1" x14ac:dyDescent="0.2">
      <c r="A43" s="82"/>
      <c r="B43" s="82"/>
      <c r="C43" s="82"/>
      <c r="D43" s="85"/>
      <c r="E43" s="133" t="e">
        <f t="array" ref="E43">INDEX('Physician Types'!$D$9:$D$72,MATCH('Physician Minutes Input Page'!C43,'Physician Types'!$C$9:$C$72,0))*IF(D43="Yes",(1+'Physician Types'!$E$4),1)</f>
        <v>#N/A</v>
      </c>
      <c r="F43" s="84"/>
      <c r="G43" s="87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6"/>
      <c r="S43" s="136">
        <f t="shared" si="0"/>
        <v>0</v>
      </c>
    </row>
    <row r="44" spans="1:19" s="102" customFormat="1" x14ac:dyDescent="0.2">
      <c r="A44" s="82"/>
      <c r="B44" s="82"/>
      <c r="C44" s="82"/>
      <c r="D44" s="85"/>
      <c r="E44" s="133" t="e">
        <f t="array" ref="E44">INDEX('Physician Types'!$D$9:$D$72,MATCH('Physician Minutes Input Page'!C44,'Physician Types'!$C$9:$C$72,0))*IF(D44="Yes",(1+'Physician Types'!$E$4),1)</f>
        <v>#N/A</v>
      </c>
      <c r="F44" s="84"/>
      <c r="G44" s="87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6"/>
      <c r="S44" s="136">
        <f t="shared" si="0"/>
        <v>0</v>
      </c>
    </row>
    <row r="45" spans="1:19" s="102" customFormat="1" x14ac:dyDescent="0.2">
      <c r="A45" s="82"/>
      <c r="B45" s="82"/>
      <c r="C45" s="82"/>
      <c r="D45" s="85"/>
      <c r="E45" s="133" t="e">
        <f t="array" ref="E45">INDEX('Physician Types'!$D$9:$D$72,MATCH('Physician Minutes Input Page'!C45,'Physician Types'!$C$9:$C$72,0))*IF(D45="Yes",(1+'Physician Types'!$E$4),1)</f>
        <v>#N/A</v>
      </c>
      <c r="F45" s="84"/>
      <c r="G45" s="87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6"/>
      <c r="S45" s="136">
        <f t="shared" si="0"/>
        <v>0</v>
      </c>
    </row>
    <row r="46" spans="1:19" s="102" customFormat="1" x14ac:dyDescent="0.2">
      <c r="A46" s="82"/>
      <c r="B46" s="82"/>
      <c r="C46" s="82"/>
      <c r="D46" s="85"/>
      <c r="E46" s="133" t="e">
        <f t="array" ref="E46">INDEX('Physician Types'!$D$9:$D$72,MATCH('Physician Minutes Input Page'!C46,'Physician Types'!$C$9:$C$72,0))*IF(D46="Yes",(1+'Physician Types'!$E$4),1)</f>
        <v>#N/A</v>
      </c>
      <c r="F46" s="84"/>
      <c r="G46" s="87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6"/>
      <c r="S46" s="136">
        <f t="shared" si="0"/>
        <v>0</v>
      </c>
    </row>
    <row r="47" spans="1:19" s="102" customFormat="1" x14ac:dyDescent="0.2">
      <c r="A47" s="82"/>
      <c r="B47" s="82"/>
      <c r="C47" s="82"/>
      <c r="D47" s="85"/>
      <c r="E47" s="133" t="e">
        <f t="array" ref="E47">INDEX('Physician Types'!$D$9:$D$72,MATCH('Physician Minutes Input Page'!C47,'Physician Types'!$C$9:$C$72,0))*IF(D47="Yes",(1+'Physician Types'!$E$4),1)</f>
        <v>#N/A</v>
      </c>
      <c r="F47" s="84"/>
      <c r="G47" s="87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6"/>
      <c r="S47" s="136">
        <f t="shared" si="0"/>
        <v>0</v>
      </c>
    </row>
    <row r="48" spans="1:19" s="102" customFormat="1" x14ac:dyDescent="0.2">
      <c r="A48" s="82"/>
      <c r="B48" s="82"/>
      <c r="C48" s="82"/>
      <c r="D48" s="85"/>
      <c r="E48" s="133" t="e">
        <f t="array" ref="E48">INDEX('Physician Types'!$D$9:$D$72,MATCH('Physician Minutes Input Page'!C48,'Physician Types'!$C$9:$C$72,0))*IF(D48="Yes",(1+'Physician Types'!$E$4),1)</f>
        <v>#N/A</v>
      </c>
      <c r="F48" s="84"/>
      <c r="G48" s="87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6"/>
      <c r="S48" s="136">
        <f t="shared" si="0"/>
        <v>0</v>
      </c>
    </row>
    <row r="49" spans="1:19" s="102" customFormat="1" x14ac:dyDescent="0.2">
      <c r="A49" s="82"/>
      <c r="B49" s="82"/>
      <c r="C49" s="82"/>
      <c r="D49" s="85"/>
      <c r="E49" s="133" t="e">
        <f t="array" ref="E49">INDEX('Physician Types'!$D$9:$D$72,MATCH('Physician Minutes Input Page'!C49,'Physician Types'!$C$9:$C$72,0))*IF(D49="Yes",(1+'Physician Types'!$E$4),1)</f>
        <v>#N/A</v>
      </c>
      <c r="F49" s="84"/>
      <c r="G49" s="87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6"/>
      <c r="S49" s="136">
        <f t="shared" si="0"/>
        <v>0</v>
      </c>
    </row>
    <row r="50" spans="1:19" s="102" customFormat="1" x14ac:dyDescent="0.2">
      <c r="A50" s="82"/>
      <c r="B50" s="82"/>
      <c r="C50" s="82"/>
      <c r="D50" s="85"/>
      <c r="E50" s="133" t="e">
        <f t="array" ref="E50">INDEX('Physician Types'!$D$9:$D$72,MATCH('Physician Minutes Input Page'!C50,'Physician Types'!$C$9:$C$72,0))*IF(D50="Yes",(1+'Physician Types'!$E$4),1)</f>
        <v>#N/A</v>
      </c>
      <c r="F50" s="84"/>
      <c r="G50" s="87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6"/>
      <c r="S50" s="136">
        <f t="shared" si="0"/>
        <v>0</v>
      </c>
    </row>
    <row r="51" spans="1:19" s="102" customFormat="1" x14ac:dyDescent="0.2">
      <c r="A51" s="82"/>
      <c r="B51" s="82"/>
      <c r="C51" s="82"/>
      <c r="D51" s="85"/>
      <c r="E51" s="133" t="e">
        <f t="array" ref="E51">INDEX('Physician Types'!$D$9:$D$72,MATCH('Physician Minutes Input Page'!C51,'Physician Types'!$C$9:$C$72,0))*IF(D51="Yes",(1+'Physician Types'!$E$4),1)</f>
        <v>#N/A</v>
      </c>
      <c r="F51" s="84"/>
      <c r="G51" s="87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6"/>
      <c r="S51" s="136">
        <f t="shared" si="0"/>
        <v>0</v>
      </c>
    </row>
    <row r="52" spans="1:19" s="102" customFormat="1" x14ac:dyDescent="0.2">
      <c r="A52" s="82"/>
      <c r="B52" s="82"/>
      <c r="C52" s="82"/>
      <c r="D52" s="85"/>
      <c r="E52" s="133" t="e">
        <f t="array" ref="E52">INDEX('Physician Types'!$D$9:$D$72,MATCH('Physician Minutes Input Page'!C52,'Physician Types'!$C$9:$C$72,0))*IF(D52="Yes",(1+'Physician Types'!$E$4),1)</f>
        <v>#N/A</v>
      </c>
      <c r="F52" s="84"/>
      <c r="G52" s="87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6"/>
      <c r="S52" s="136">
        <f t="shared" si="0"/>
        <v>0</v>
      </c>
    </row>
    <row r="53" spans="1:19" s="102" customFormat="1" x14ac:dyDescent="0.2">
      <c r="A53" s="82"/>
      <c r="B53" s="82"/>
      <c r="C53" s="82"/>
      <c r="D53" s="85"/>
      <c r="E53" s="133" t="e">
        <f t="array" ref="E53">INDEX('Physician Types'!$D$9:$D$72,MATCH('Physician Minutes Input Page'!C53,'Physician Types'!$C$9:$C$72,0))*IF(D53="Yes",(1+'Physician Types'!$E$4),1)</f>
        <v>#N/A</v>
      </c>
      <c r="F53" s="84"/>
      <c r="G53" s="87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6"/>
      <c r="S53" s="136">
        <f t="shared" si="0"/>
        <v>0</v>
      </c>
    </row>
    <row r="54" spans="1:19" s="102" customFormat="1" x14ac:dyDescent="0.2">
      <c r="A54" s="82"/>
      <c r="B54" s="82"/>
      <c r="C54" s="82"/>
      <c r="D54" s="85"/>
      <c r="E54" s="133" t="e">
        <f t="array" ref="E54">INDEX('Physician Types'!$D$9:$D$72,MATCH('Physician Minutes Input Page'!C54,'Physician Types'!$C$9:$C$72,0))*IF(D54="Yes",(1+'Physician Types'!$E$4),1)</f>
        <v>#N/A</v>
      </c>
      <c r="F54" s="84"/>
      <c r="G54" s="87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6"/>
      <c r="S54" s="136">
        <f t="shared" si="0"/>
        <v>0</v>
      </c>
    </row>
    <row r="55" spans="1:19" s="102" customFormat="1" x14ac:dyDescent="0.2">
      <c r="A55" s="82"/>
      <c r="B55" s="82"/>
      <c r="C55" s="82"/>
      <c r="D55" s="85"/>
      <c r="E55" s="133" t="e">
        <f t="array" ref="E55">INDEX('Physician Types'!$D$9:$D$72,MATCH('Physician Minutes Input Page'!C55,'Physician Types'!$C$9:$C$72,0))*IF(D55="Yes",(1+'Physician Types'!$E$4),1)</f>
        <v>#N/A</v>
      </c>
      <c r="F55" s="84"/>
      <c r="G55" s="87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6"/>
      <c r="S55" s="136">
        <f t="shared" si="0"/>
        <v>0</v>
      </c>
    </row>
    <row r="56" spans="1:19" s="102" customFormat="1" x14ac:dyDescent="0.2">
      <c r="A56" s="82"/>
      <c r="B56" s="82"/>
      <c r="C56" s="82"/>
      <c r="D56" s="85"/>
      <c r="E56" s="133" t="e">
        <f t="array" ref="E56">INDEX('Physician Types'!$D$9:$D$72,MATCH('Physician Minutes Input Page'!C56,'Physician Types'!$C$9:$C$72,0))*IF(D56="Yes",(1+'Physician Types'!$E$4),1)</f>
        <v>#N/A</v>
      </c>
      <c r="F56" s="84"/>
      <c r="G56" s="87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6"/>
      <c r="S56" s="136">
        <f t="shared" si="0"/>
        <v>0</v>
      </c>
    </row>
    <row r="57" spans="1:19" s="102" customFormat="1" x14ac:dyDescent="0.2">
      <c r="A57" s="82"/>
      <c r="B57" s="82"/>
      <c r="C57" s="82"/>
      <c r="D57" s="85"/>
      <c r="E57" s="133" t="e">
        <f t="array" ref="E57">INDEX('Physician Types'!$D$9:$D$72,MATCH('Physician Minutes Input Page'!C57,'Physician Types'!$C$9:$C$72,0))*IF(D57="Yes",(1+'Physician Types'!$E$4),1)</f>
        <v>#N/A</v>
      </c>
      <c r="F57" s="84"/>
      <c r="G57" s="87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6"/>
      <c r="S57" s="136">
        <f t="shared" si="0"/>
        <v>0</v>
      </c>
    </row>
    <row r="58" spans="1:19" s="102" customFormat="1" x14ac:dyDescent="0.2">
      <c r="A58" s="82"/>
      <c r="B58" s="82"/>
      <c r="C58" s="82"/>
      <c r="D58" s="85"/>
      <c r="E58" s="133" t="e">
        <f t="array" ref="E58">INDEX('Physician Types'!$D$9:$D$72,MATCH('Physician Minutes Input Page'!C58,'Physician Types'!$C$9:$C$72,0))*IF(D58="Yes",(1+'Physician Types'!$E$4),1)</f>
        <v>#N/A</v>
      </c>
      <c r="F58" s="84"/>
      <c r="G58" s="87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6"/>
      <c r="S58" s="136">
        <f t="shared" si="0"/>
        <v>0</v>
      </c>
    </row>
    <row r="59" spans="1:19" s="102" customFormat="1" x14ac:dyDescent="0.2">
      <c r="A59" s="82"/>
      <c r="B59" s="82"/>
      <c r="C59" s="82"/>
      <c r="D59" s="85"/>
      <c r="E59" s="133" t="e">
        <f t="array" ref="E59">INDEX('Physician Types'!$D$9:$D$72,MATCH('Physician Minutes Input Page'!C59,'Physician Types'!$C$9:$C$72,0))*IF(D59="Yes",(1+'Physician Types'!$E$4),1)</f>
        <v>#N/A</v>
      </c>
      <c r="F59" s="84"/>
      <c r="G59" s="87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6"/>
      <c r="S59" s="136">
        <f t="shared" si="0"/>
        <v>0</v>
      </c>
    </row>
    <row r="60" spans="1:19" s="102" customFormat="1" x14ac:dyDescent="0.2">
      <c r="A60" s="82"/>
      <c r="B60" s="82"/>
      <c r="C60" s="82"/>
      <c r="D60" s="85"/>
      <c r="E60" s="133" t="e">
        <f t="array" ref="E60">INDEX('Physician Types'!$D$9:$D$72,MATCH('Physician Minutes Input Page'!C60,'Physician Types'!$C$9:$C$72,0))*IF(D60="Yes",(1+'Physician Types'!$E$4),1)</f>
        <v>#N/A</v>
      </c>
      <c r="F60" s="84"/>
      <c r="G60" s="87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6"/>
      <c r="S60" s="136">
        <f t="shared" si="0"/>
        <v>0</v>
      </c>
    </row>
    <row r="61" spans="1:19" s="102" customFormat="1" x14ac:dyDescent="0.2">
      <c r="A61" s="82"/>
      <c r="B61" s="82"/>
      <c r="C61" s="82"/>
      <c r="D61" s="85"/>
      <c r="E61" s="133" t="e">
        <f t="array" ref="E61">INDEX('Physician Types'!$D$9:$D$72,MATCH('Physician Minutes Input Page'!C61,'Physician Types'!$C$9:$C$72,0))*IF(D61="Yes",(1+'Physician Types'!$E$4),1)</f>
        <v>#N/A</v>
      </c>
      <c r="F61" s="84"/>
      <c r="G61" s="87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6"/>
      <c r="S61" s="136">
        <f t="shared" si="0"/>
        <v>0</v>
      </c>
    </row>
    <row r="62" spans="1:19" s="102" customFormat="1" x14ac:dyDescent="0.2">
      <c r="A62" s="82"/>
      <c r="B62" s="82"/>
      <c r="C62" s="82"/>
      <c r="D62" s="85"/>
      <c r="E62" s="133" t="e">
        <f t="array" ref="E62">INDEX('Physician Types'!$D$9:$D$72,MATCH('Physician Minutes Input Page'!C62,'Physician Types'!$C$9:$C$72,0))*IF(D62="Yes",(1+'Physician Types'!$E$4),1)</f>
        <v>#N/A</v>
      </c>
      <c r="F62" s="84"/>
      <c r="G62" s="87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6"/>
      <c r="S62" s="136">
        <f t="shared" si="0"/>
        <v>0</v>
      </c>
    </row>
    <row r="63" spans="1:19" s="102" customFormat="1" x14ac:dyDescent="0.2">
      <c r="A63" s="82"/>
      <c r="B63" s="82"/>
      <c r="C63" s="82"/>
      <c r="D63" s="85"/>
      <c r="E63" s="133" t="e">
        <f t="array" ref="E63">INDEX('Physician Types'!$D$9:$D$72,MATCH('Physician Minutes Input Page'!C63,'Physician Types'!$C$9:$C$72,0))*IF(D63="Yes",(1+'Physician Types'!$E$4),1)</f>
        <v>#N/A</v>
      </c>
      <c r="F63" s="84"/>
      <c r="G63" s="87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6"/>
      <c r="S63" s="136">
        <f t="shared" si="0"/>
        <v>0</v>
      </c>
    </row>
    <row r="64" spans="1:19" s="102" customFormat="1" x14ac:dyDescent="0.2">
      <c r="A64" s="82"/>
      <c r="B64" s="82"/>
      <c r="C64" s="82"/>
      <c r="D64" s="85"/>
      <c r="E64" s="133" t="e">
        <f t="array" ref="E64">INDEX('Physician Types'!$D$9:$D$72,MATCH('Physician Minutes Input Page'!C64,'Physician Types'!$C$9:$C$72,0))*IF(D64="Yes",(1+'Physician Types'!$E$4),1)</f>
        <v>#N/A</v>
      </c>
      <c r="F64" s="84"/>
      <c r="G64" s="87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6"/>
      <c r="S64" s="136">
        <f t="shared" si="0"/>
        <v>0</v>
      </c>
    </row>
    <row r="65" spans="1:19" s="102" customFormat="1" x14ac:dyDescent="0.2">
      <c r="A65" s="82"/>
      <c r="B65" s="82"/>
      <c r="C65" s="82"/>
      <c r="D65" s="85"/>
      <c r="E65" s="133" t="e">
        <f t="array" ref="E65">INDEX('Physician Types'!$D$9:$D$72,MATCH('Physician Minutes Input Page'!C65,'Physician Types'!$C$9:$C$72,0))*IF(D65="Yes",(1+'Physician Types'!$E$4),1)</f>
        <v>#N/A</v>
      </c>
      <c r="F65" s="84"/>
      <c r="G65" s="87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6"/>
      <c r="S65" s="136">
        <f t="shared" si="0"/>
        <v>0</v>
      </c>
    </row>
    <row r="66" spans="1:19" s="102" customFormat="1" x14ac:dyDescent="0.2">
      <c r="A66" s="82"/>
      <c r="B66" s="82"/>
      <c r="C66" s="82"/>
      <c r="D66" s="85"/>
      <c r="E66" s="133" t="e">
        <f t="array" ref="E66">INDEX('Physician Types'!$D$9:$D$72,MATCH('Physician Minutes Input Page'!C66,'Physician Types'!$C$9:$C$72,0))*IF(D66="Yes",(1+'Physician Types'!$E$4),1)</f>
        <v>#N/A</v>
      </c>
      <c r="F66" s="84"/>
      <c r="G66" s="87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6"/>
      <c r="S66" s="136">
        <f t="shared" si="0"/>
        <v>0</v>
      </c>
    </row>
    <row r="67" spans="1:19" s="102" customFormat="1" x14ac:dyDescent="0.2">
      <c r="A67" s="82"/>
      <c r="B67" s="82"/>
      <c r="C67" s="82"/>
      <c r="D67" s="85"/>
      <c r="E67" s="133" t="e">
        <f t="array" ref="E67">INDEX('Physician Types'!$D$9:$D$72,MATCH('Physician Minutes Input Page'!C67,'Physician Types'!$C$9:$C$72,0))*IF(D67="Yes",(1+'Physician Types'!$E$4),1)</f>
        <v>#N/A</v>
      </c>
      <c r="F67" s="84"/>
      <c r="G67" s="87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6"/>
      <c r="S67" s="136">
        <f t="shared" si="0"/>
        <v>0</v>
      </c>
    </row>
    <row r="68" spans="1:19" s="102" customFormat="1" x14ac:dyDescent="0.2">
      <c r="A68" s="82"/>
      <c r="B68" s="82"/>
      <c r="C68" s="82"/>
      <c r="D68" s="85"/>
      <c r="E68" s="133" t="e">
        <f t="array" ref="E68">INDEX('Physician Types'!$D$9:$D$72,MATCH('Physician Minutes Input Page'!C68,'Physician Types'!$C$9:$C$72,0))*IF(D68="Yes",(1+'Physician Types'!$E$4),1)</f>
        <v>#N/A</v>
      </c>
      <c r="F68" s="84"/>
      <c r="G68" s="87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6"/>
      <c r="S68" s="136">
        <f t="shared" si="0"/>
        <v>0</v>
      </c>
    </row>
    <row r="69" spans="1:19" s="102" customFormat="1" x14ac:dyDescent="0.2">
      <c r="A69" s="82"/>
      <c r="B69" s="82"/>
      <c r="C69" s="82"/>
      <c r="D69" s="85"/>
      <c r="E69" s="133" t="e">
        <f t="array" ref="E69">INDEX('Physician Types'!$D$9:$D$72,MATCH('Physician Minutes Input Page'!C69,'Physician Types'!$C$9:$C$72,0))*IF(D69="Yes",(1+'Physician Types'!$E$4),1)</f>
        <v>#N/A</v>
      </c>
      <c r="F69" s="84"/>
      <c r="G69" s="87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6"/>
      <c r="S69" s="136">
        <f t="shared" si="0"/>
        <v>0</v>
      </c>
    </row>
    <row r="70" spans="1:19" s="102" customFormat="1" ht="13.5" thickBot="1" x14ac:dyDescent="0.25">
      <c r="A70" s="88"/>
      <c r="B70" s="88"/>
      <c r="C70" s="88"/>
      <c r="D70" s="89"/>
      <c r="E70" s="134" t="e">
        <f t="array" ref="E70">INDEX('Physician Types'!$D$9:$D$72,MATCH('Physician Minutes Input Page'!C70,'Physician Types'!$C$9:$C$72,0))*IF(D70="Yes",(1+'Physician Types'!$E$4),1)</f>
        <v>#N/A</v>
      </c>
      <c r="F70" s="91"/>
      <c r="G70" s="92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93"/>
      <c r="S70" s="137">
        <f t="shared" si="0"/>
        <v>0</v>
      </c>
    </row>
    <row r="71" spans="1:19" s="102" customFormat="1" x14ac:dyDescent="0.2">
      <c r="D71" s="157"/>
      <c r="E71" s="181"/>
      <c r="F71" s="188"/>
      <c r="G71" s="159"/>
    </row>
  </sheetData>
  <sheetProtection algorithmName="SHA-512" hashValue="NyduVOhR/54WN3gK+y/DrZAc7pZV4Hz0Z4cpeQncVxMXEoit2KL1ctLeNa+AJ7KhQdwEffZg6MJnBrrOmmll4w==" saltValue="PMHBCNpP8oFHGp+ZGY4+Qg==" spinCount="100000" sheet="1" objects="1" scenarios="1"/>
  <sortState xmlns:xlrd2="http://schemas.microsoft.com/office/spreadsheetml/2017/richdata2" ref="U10:X22">
    <sortCondition ref="U10"/>
  </sortState>
  <dataValidations count="2">
    <dataValidation type="list" allowBlank="1" showInputMessage="1" showErrorMessage="1" sqref="D9:D71" xr:uid="{00000000-0002-0000-0F00-000000000000}">
      <formula1>"YES, NO"</formula1>
    </dataValidation>
    <dataValidation type="list" allowBlank="1" showInputMessage="1" showErrorMessage="1" sqref="C9:C70" xr:uid="{00000000-0002-0000-0F00-000001000000}">
      <formula1>Physician_Type_Practice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3" name="Button 1">
              <controlPr defaultSize="0" print="0" autoFill="0" autoPict="0" macro="[0]!PrintButton_Click">
                <anchor moveWithCells="1" sizeWithCells="1">
                  <from>
                    <xdr:col>3</xdr:col>
                    <xdr:colOff>9525</xdr:colOff>
                    <xdr:row>4</xdr:row>
                    <xdr:rowOff>0</xdr:rowOff>
                  </from>
                  <to>
                    <xdr:col>4</xdr:col>
                    <xdr:colOff>19050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F00-000002000000}">
          <x14:formula1>
            <xm:f>'C:\Users\Robin\Dropbox\LiCON Rating Worksheets\New MRF Development\Hospital MRFS\[William Bee for Comp.xlsm]Physician Types'!#REF!</xm:f>
          </x14:formula1>
          <xm:sqref>V10:V22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6"/>
  <dimension ref="A1:D22"/>
  <sheetViews>
    <sheetView topLeftCell="A4" workbookViewId="0">
      <selection activeCell="A15" sqref="A15:A22"/>
    </sheetView>
  </sheetViews>
  <sheetFormatPr defaultRowHeight="12.75" x14ac:dyDescent="0.2"/>
  <cols>
    <col min="1" max="1" width="8.5703125" customWidth="1"/>
    <col min="2" max="2" width="50.28515625" style="4" customWidth="1"/>
    <col min="3" max="3" width="7.85546875" bestFit="1" customWidth="1"/>
    <col min="4" max="4" width="7.28515625" bestFit="1" customWidth="1"/>
  </cols>
  <sheetData>
    <row r="1" spans="1:4" ht="15.75" x14ac:dyDescent="0.25">
      <c r="A1" s="18"/>
      <c r="B1" s="70"/>
      <c r="D1" s="19"/>
    </row>
    <row r="2" spans="1:4" ht="15.75" x14ac:dyDescent="0.25">
      <c r="A2" s="18" t="s">
        <v>25</v>
      </c>
      <c r="B2" s="70"/>
      <c r="D2" s="19"/>
    </row>
    <row r="3" spans="1:4" ht="20.25" x14ac:dyDescent="0.3">
      <c r="A3" s="18"/>
      <c r="B3" s="71" t="s">
        <v>125</v>
      </c>
      <c r="C3" s="14"/>
      <c r="D3" s="22"/>
    </row>
    <row r="4" spans="1:4" x14ac:dyDescent="0.2">
      <c r="B4" s="59" t="s">
        <v>119</v>
      </c>
      <c r="C4" s="44"/>
      <c r="D4" s="6"/>
    </row>
    <row r="5" spans="1:4" x14ac:dyDescent="0.2">
      <c r="B5" s="59" t="s">
        <v>83</v>
      </c>
      <c r="C5" s="57"/>
    </row>
    <row r="6" spans="1:4" x14ac:dyDescent="0.2">
      <c r="C6" s="4"/>
    </row>
    <row r="7" spans="1:4" x14ac:dyDescent="0.2">
      <c r="C7" s="4"/>
    </row>
    <row r="8" spans="1:4" ht="26.25" thickBot="1" x14ac:dyDescent="0.25">
      <c r="A8" s="4"/>
      <c r="B8" s="23" t="s">
        <v>0</v>
      </c>
      <c r="C8" s="23" t="s">
        <v>113</v>
      </c>
      <c r="D8" s="46" t="s">
        <v>112</v>
      </c>
    </row>
    <row r="9" spans="1:4" x14ac:dyDescent="0.2">
      <c r="A9" s="60">
        <v>1</v>
      </c>
      <c r="B9" s="61" t="s">
        <v>2</v>
      </c>
      <c r="C9" s="62">
        <v>1</v>
      </c>
      <c r="D9" s="63" t="s">
        <v>21</v>
      </c>
    </row>
    <row r="10" spans="1:4" x14ac:dyDescent="0.2">
      <c r="A10" s="64">
        <f>A9+1</f>
        <v>2</v>
      </c>
      <c r="B10" s="65" t="s">
        <v>3</v>
      </c>
      <c r="C10" s="66">
        <v>1</v>
      </c>
      <c r="D10" s="67" t="s">
        <v>21</v>
      </c>
    </row>
    <row r="11" spans="1:4" x14ac:dyDescent="0.2">
      <c r="A11" s="64">
        <f t="shared" ref="A11:A22" si="0">A10+1</f>
        <v>3</v>
      </c>
      <c r="B11" s="65" t="s">
        <v>4</v>
      </c>
      <c r="C11" s="66">
        <v>0.12</v>
      </c>
      <c r="D11" s="67" t="s">
        <v>21</v>
      </c>
    </row>
    <row r="12" spans="1:4" x14ac:dyDescent="0.2">
      <c r="A12" s="64">
        <f t="shared" si="0"/>
        <v>4</v>
      </c>
      <c r="B12" s="65" t="s">
        <v>5</v>
      </c>
      <c r="C12" s="66">
        <v>0.7</v>
      </c>
      <c r="D12" s="67" t="s">
        <v>21</v>
      </c>
    </row>
    <row r="13" spans="1:4" ht="25.5" x14ac:dyDescent="0.2">
      <c r="A13" s="64">
        <f t="shared" si="0"/>
        <v>5</v>
      </c>
      <c r="B13" s="65" t="s">
        <v>6</v>
      </c>
      <c r="C13" s="66">
        <v>0.45100000000000001</v>
      </c>
      <c r="D13" s="67" t="s">
        <v>21</v>
      </c>
    </row>
    <row r="14" spans="1:4" x14ac:dyDescent="0.2">
      <c r="A14" s="64">
        <f t="shared" si="0"/>
        <v>6</v>
      </c>
      <c r="B14" s="65" t="s">
        <v>7</v>
      </c>
      <c r="C14" s="66">
        <v>0.35</v>
      </c>
      <c r="D14" s="67" t="s">
        <v>21</v>
      </c>
    </row>
    <row r="15" spans="1:4" x14ac:dyDescent="0.2">
      <c r="A15" s="64">
        <f t="shared" si="0"/>
        <v>7</v>
      </c>
      <c r="B15" s="68" t="s">
        <v>114</v>
      </c>
      <c r="C15" s="69">
        <f>0.17</f>
        <v>0.17</v>
      </c>
      <c r="D15" s="67" t="s">
        <v>22</v>
      </c>
    </row>
    <row r="16" spans="1:4" x14ac:dyDescent="0.2">
      <c r="A16" s="64">
        <f t="shared" si="0"/>
        <v>8</v>
      </c>
      <c r="B16" s="68" t="s">
        <v>115</v>
      </c>
      <c r="C16" s="66">
        <f>0.04</f>
        <v>0.04</v>
      </c>
      <c r="D16" s="67" t="s">
        <v>22</v>
      </c>
    </row>
    <row r="17" spans="1:4" x14ac:dyDescent="0.2">
      <c r="A17" s="64">
        <f t="shared" si="0"/>
        <v>9</v>
      </c>
      <c r="B17" s="68" t="s">
        <v>116</v>
      </c>
      <c r="C17" s="66">
        <f>0.0022</f>
        <v>2.2000000000000001E-3</v>
      </c>
      <c r="D17" s="67" t="s">
        <v>22</v>
      </c>
    </row>
    <row r="18" spans="1:4" x14ac:dyDescent="0.2">
      <c r="A18" s="64">
        <f t="shared" si="0"/>
        <v>10</v>
      </c>
      <c r="B18" s="65" t="s">
        <v>8</v>
      </c>
      <c r="C18" s="66">
        <v>0.05</v>
      </c>
      <c r="D18" s="67" t="s">
        <v>23</v>
      </c>
    </row>
    <row r="19" spans="1:4" x14ac:dyDescent="0.2">
      <c r="A19" s="64">
        <f t="shared" si="0"/>
        <v>11</v>
      </c>
      <c r="B19" s="65" t="s">
        <v>9</v>
      </c>
      <c r="C19" s="66">
        <v>0.02</v>
      </c>
      <c r="D19" s="67" t="s">
        <v>23</v>
      </c>
    </row>
    <row r="20" spans="1:4" x14ac:dyDescent="0.2">
      <c r="A20" s="64">
        <f t="shared" si="0"/>
        <v>12</v>
      </c>
      <c r="B20" s="65" t="s">
        <v>10</v>
      </c>
      <c r="C20" s="66">
        <v>0.15</v>
      </c>
      <c r="D20" s="67" t="s">
        <v>23</v>
      </c>
    </row>
    <row r="21" spans="1:4" x14ac:dyDescent="0.2">
      <c r="A21" s="64">
        <f t="shared" si="0"/>
        <v>13</v>
      </c>
      <c r="B21" s="65" t="s">
        <v>11</v>
      </c>
      <c r="C21" s="66">
        <v>0.15</v>
      </c>
      <c r="D21" s="67" t="s">
        <v>23</v>
      </c>
    </row>
    <row r="22" spans="1:4" x14ac:dyDescent="0.2">
      <c r="A22" s="64">
        <f t="shared" si="0"/>
        <v>14</v>
      </c>
      <c r="B22" s="68" t="s">
        <v>117</v>
      </c>
      <c r="C22" s="66">
        <f>1.94082726835349/3</f>
        <v>0.64694242278449665</v>
      </c>
      <c r="D22" s="67" t="s">
        <v>23</v>
      </c>
    </row>
  </sheetData>
  <sheetProtection algorithmName="SHA-512" hashValue="fLtZUap6/xMvz8dAf45Mp/id73S3RipY6oVfrMsx9tMAbG2nB+PJfpQfIbjBo/HrisKwF9hUxXzGcvUzJ8wNzA==" saltValue="WugwQ6sjcUxn6GZbnpB5hg==" spinCount="100000" sheet="1" objects="1" scenarios="1"/>
  <customSheetViews>
    <customSheetView guid="{4B7E793F-FF7C-4BA4-8EC7-9B719AA3D607}">
      <selection activeCell="E31" sqref="E31"/>
      <pageMargins left="0.7" right="0.7" top="0.75" bottom="0.75" header="0.3" footer="0.3"/>
    </customSheetView>
  </customSheetView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7"/>
  <dimension ref="A1:K82"/>
  <sheetViews>
    <sheetView workbookViewId="0">
      <selection activeCell="E34" sqref="E34"/>
    </sheetView>
  </sheetViews>
  <sheetFormatPr defaultColWidth="8.85546875" defaultRowHeight="12.75" x14ac:dyDescent="0.2"/>
  <cols>
    <col min="1" max="2" width="8.85546875" style="102"/>
    <col min="3" max="3" width="37.28515625" style="102" customWidth="1"/>
    <col min="4" max="4" width="16.42578125" style="102" customWidth="1"/>
    <col min="5" max="5" width="15.5703125" style="102" customWidth="1"/>
    <col min="6" max="6" width="10.7109375" style="102" customWidth="1"/>
    <col min="7" max="7" width="15.42578125" style="102" customWidth="1"/>
    <col min="8" max="8" width="14.42578125" style="102" customWidth="1"/>
    <col min="9" max="9" width="10.140625" style="102" customWidth="1"/>
    <col min="10" max="16384" width="8.85546875" style="102"/>
  </cols>
  <sheetData>
    <row r="1" spans="1:11" ht="15.75" x14ac:dyDescent="0.25">
      <c r="A1" s="123"/>
    </row>
    <row r="2" spans="1:11" ht="15.75" x14ac:dyDescent="0.25">
      <c r="A2" s="123" t="str">
        <f>'Hospital Input Page'!A2</f>
        <v>LiCON MONTHLY REPORT FORM (MRF)</v>
      </c>
      <c r="D2" s="108" t="s">
        <v>125</v>
      </c>
    </row>
    <row r="3" spans="1:11" ht="15.75" x14ac:dyDescent="0.25">
      <c r="A3" s="123"/>
    </row>
    <row r="4" spans="1:11" x14ac:dyDescent="0.2">
      <c r="D4" s="153" t="s">
        <v>134</v>
      </c>
      <c r="E4" s="154">
        <v>0.03</v>
      </c>
      <c r="F4" s="127" t="s">
        <v>135</v>
      </c>
      <c r="G4" s="127"/>
    </row>
    <row r="5" spans="1:11" x14ac:dyDescent="0.2">
      <c r="B5" s="129" t="str">
        <f>'Hospital Input Page'!B5</f>
        <v>Deductible</v>
      </c>
      <c r="C5" s="129">
        <f>'Hospital Input Page'!C5</f>
        <v>10000</v>
      </c>
    </row>
    <row r="6" spans="1:11" s="155" customFormat="1" ht="47.25" x14ac:dyDescent="0.25">
      <c r="B6" s="156" t="s">
        <v>85</v>
      </c>
      <c r="C6" s="155" t="s">
        <v>86</v>
      </c>
      <c r="D6" s="156" t="s">
        <v>90</v>
      </c>
      <c r="E6" s="156" t="s">
        <v>109</v>
      </c>
      <c r="F6" s="156" t="s">
        <v>88</v>
      </c>
      <c r="G6" s="156" t="s">
        <v>147</v>
      </c>
      <c r="H6" s="156" t="s">
        <v>89</v>
      </c>
      <c r="I6" s="156" t="s">
        <v>110</v>
      </c>
    </row>
    <row r="7" spans="1:11" x14ac:dyDescent="0.2">
      <c r="C7" s="157" t="s">
        <v>118</v>
      </c>
      <c r="E7" s="165">
        <f>3.273*1.13</f>
        <v>3.6984899999999996</v>
      </c>
    </row>
    <row r="9" spans="1:11" x14ac:dyDescent="0.2">
      <c r="B9" s="158">
        <v>1</v>
      </c>
      <c r="C9" s="107" t="s">
        <v>28</v>
      </c>
      <c r="D9" s="159">
        <v>0.47399999999999998</v>
      </c>
      <c r="E9" s="160">
        <f t="shared" ref="E9:E34" si="0">D9*$E$7</f>
        <v>1.7530842599999998</v>
      </c>
      <c r="F9" s="102">
        <v>20</v>
      </c>
      <c r="G9" s="102">
        <v>45</v>
      </c>
      <c r="H9" s="102">
        <v>173.33</v>
      </c>
      <c r="I9" s="102">
        <f>H9*60</f>
        <v>10399.800000000001</v>
      </c>
      <c r="K9" s="160"/>
    </row>
    <row r="10" spans="1:11" x14ac:dyDescent="0.2">
      <c r="B10" s="158">
        <v>1</v>
      </c>
      <c r="C10" s="107" t="s">
        <v>29</v>
      </c>
      <c r="D10" s="159">
        <v>0.50900000000000001</v>
      </c>
      <c r="E10" s="160">
        <f t="shared" si="0"/>
        <v>1.8825314099999999</v>
      </c>
      <c r="F10" s="102">
        <v>20</v>
      </c>
      <c r="G10" s="102">
        <v>45</v>
      </c>
      <c r="H10" s="102">
        <v>173.33</v>
      </c>
      <c r="I10" s="102">
        <f t="shared" ref="I10:I61" si="1">H10*60</f>
        <v>10399.800000000001</v>
      </c>
      <c r="K10" s="160"/>
    </row>
    <row r="11" spans="1:11" x14ac:dyDescent="0.2">
      <c r="B11" s="158">
        <v>4</v>
      </c>
      <c r="C11" s="102" t="s">
        <v>60</v>
      </c>
      <c r="D11" s="159">
        <v>1.383</v>
      </c>
      <c r="E11" s="160">
        <f t="shared" si="0"/>
        <v>5.1150116699999995</v>
      </c>
      <c r="F11" s="102">
        <v>20</v>
      </c>
      <c r="G11" s="102">
        <v>45</v>
      </c>
      <c r="H11" s="102">
        <v>173.33</v>
      </c>
      <c r="I11" s="102">
        <f t="shared" si="1"/>
        <v>10399.800000000001</v>
      </c>
      <c r="K11" s="160"/>
    </row>
    <row r="12" spans="1:11" x14ac:dyDescent="0.2">
      <c r="B12" s="158">
        <v>4</v>
      </c>
      <c r="C12" s="102" t="s">
        <v>61</v>
      </c>
      <c r="D12" s="159">
        <v>1.5740000000000001</v>
      </c>
      <c r="E12" s="160">
        <f t="shared" si="0"/>
        <v>5.8214232599999995</v>
      </c>
      <c r="F12" s="102">
        <v>20</v>
      </c>
      <c r="G12" s="102">
        <v>45</v>
      </c>
      <c r="H12" s="102">
        <v>173.33</v>
      </c>
      <c r="I12" s="102">
        <f t="shared" si="1"/>
        <v>10399.800000000001</v>
      </c>
      <c r="K12" s="160"/>
    </row>
    <row r="13" spans="1:11" x14ac:dyDescent="0.2">
      <c r="B13" s="158">
        <v>2</v>
      </c>
      <c r="C13" s="107" t="s">
        <v>34</v>
      </c>
      <c r="D13" s="159">
        <v>0.83</v>
      </c>
      <c r="E13" s="160">
        <f t="shared" si="0"/>
        <v>3.0697466999999996</v>
      </c>
      <c r="F13" s="102">
        <v>20</v>
      </c>
      <c r="G13" s="102">
        <v>45</v>
      </c>
      <c r="H13" s="102">
        <v>173.33</v>
      </c>
      <c r="I13" s="102">
        <f t="shared" si="1"/>
        <v>10399.800000000001</v>
      </c>
      <c r="K13" s="160"/>
    </row>
    <row r="14" spans="1:11" x14ac:dyDescent="0.2">
      <c r="B14" s="158">
        <v>7</v>
      </c>
      <c r="C14" s="102" t="s">
        <v>72</v>
      </c>
      <c r="D14" s="159">
        <v>4.0860000000000003</v>
      </c>
      <c r="E14" s="160">
        <f t="shared" si="0"/>
        <v>15.11203014</v>
      </c>
      <c r="F14" s="102">
        <v>20</v>
      </c>
      <c r="G14" s="102">
        <v>45</v>
      </c>
      <c r="H14" s="102">
        <v>173.33</v>
      </c>
      <c r="I14" s="102">
        <f t="shared" si="1"/>
        <v>10399.800000000001</v>
      </c>
      <c r="K14" s="160"/>
    </row>
    <row r="15" spans="1:11" x14ac:dyDescent="0.2">
      <c r="B15" s="158">
        <v>6</v>
      </c>
      <c r="C15" s="102" t="s">
        <v>69</v>
      </c>
      <c r="D15" s="159">
        <v>1.8109999999999999</v>
      </c>
      <c r="E15" s="160">
        <f t="shared" si="0"/>
        <v>6.6979653899999994</v>
      </c>
      <c r="F15" s="102">
        <v>20</v>
      </c>
      <c r="G15" s="102">
        <v>45</v>
      </c>
      <c r="H15" s="102">
        <v>173.33</v>
      </c>
      <c r="I15" s="102">
        <f t="shared" si="1"/>
        <v>10399.800000000001</v>
      </c>
      <c r="K15" s="160"/>
    </row>
    <row r="16" spans="1:11" x14ac:dyDescent="0.2">
      <c r="B16" s="158">
        <v>2</v>
      </c>
      <c r="C16" s="107" t="s">
        <v>35</v>
      </c>
      <c r="D16" s="159">
        <v>0.50900000000000001</v>
      </c>
      <c r="E16" s="160">
        <f t="shared" si="0"/>
        <v>1.8825314099999999</v>
      </c>
      <c r="F16" s="102">
        <v>20</v>
      </c>
      <c r="G16" s="102">
        <v>45</v>
      </c>
      <c r="H16" s="102">
        <v>173.33</v>
      </c>
      <c r="I16" s="102">
        <f t="shared" si="1"/>
        <v>10399.800000000001</v>
      </c>
      <c r="K16" s="160"/>
    </row>
    <row r="17" spans="2:11" x14ac:dyDescent="0.2">
      <c r="B17" s="158"/>
      <c r="C17" s="161" t="s">
        <v>136</v>
      </c>
      <c r="D17" s="159">
        <v>0.88500000000000001</v>
      </c>
      <c r="E17" s="160">
        <f t="shared" si="0"/>
        <v>3.2731636499999999</v>
      </c>
      <c r="F17" s="157">
        <v>15</v>
      </c>
      <c r="G17" s="102">
        <v>45</v>
      </c>
      <c r="H17" s="102">
        <v>173.33</v>
      </c>
      <c r="I17" s="102">
        <f t="shared" si="1"/>
        <v>10399.800000000001</v>
      </c>
      <c r="K17" s="160"/>
    </row>
    <row r="18" spans="2:11" x14ac:dyDescent="0.2">
      <c r="B18" s="158">
        <v>2</v>
      </c>
      <c r="C18" s="107" t="s">
        <v>36</v>
      </c>
      <c r="D18" s="159">
        <v>1.304</v>
      </c>
      <c r="E18" s="160">
        <f t="shared" si="0"/>
        <v>4.8228309600000001</v>
      </c>
      <c r="F18" s="102">
        <v>20</v>
      </c>
      <c r="G18" s="102">
        <v>45</v>
      </c>
      <c r="H18" s="102">
        <v>173.33</v>
      </c>
      <c r="I18" s="102">
        <f t="shared" si="1"/>
        <v>10399.800000000001</v>
      </c>
      <c r="K18" s="160"/>
    </row>
    <row r="19" spans="2:11" x14ac:dyDescent="0.2">
      <c r="B19" s="158">
        <v>2</v>
      </c>
      <c r="C19" s="107" t="s">
        <v>37</v>
      </c>
      <c r="D19" s="159">
        <v>0.80300000000000005</v>
      </c>
      <c r="E19" s="160">
        <f t="shared" si="0"/>
        <v>2.9698874699999998</v>
      </c>
      <c r="F19" s="102">
        <v>20</v>
      </c>
      <c r="G19" s="102">
        <v>45</v>
      </c>
      <c r="H19" s="102">
        <v>173.33</v>
      </c>
      <c r="I19" s="102">
        <f t="shared" si="1"/>
        <v>10399.800000000001</v>
      </c>
      <c r="K19" s="160"/>
    </row>
    <row r="20" spans="2:11" x14ac:dyDescent="0.2">
      <c r="B20" s="158">
        <v>2</v>
      </c>
      <c r="C20" s="107" t="s">
        <v>38</v>
      </c>
      <c r="D20" s="159">
        <v>2.254</v>
      </c>
      <c r="E20" s="160">
        <f t="shared" si="0"/>
        <v>8.3363964599999996</v>
      </c>
      <c r="F20" s="102">
        <v>20</v>
      </c>
      <c r="G20" s="102">
        <v>45</v>
      </c>
      <c r="H20" s="102">
        <v>173.33</v>
      </c>
      <c r="I20" s="102">
        <f t="shared" si="1"/>
        <v>10399.800000000001</v>
      </c>
      <c r="K20" s="160"/>
    </row>
    <row r="21" spans="2:11" x14ac:dyDescent="0.2">
      <c r="B21" s="158">
        <v>3</v>
      </c>
      <c r="C21" s="161" t="s">
        <v>155</v>
      </c>
      <c r="D21" s="159">
        <v>1</v>
      </c>
      <c r="E21" s="160">
        <f t="shared" si="0"/>
        <v>3.6984899999999996</v>
      </c>
      <c r="F21" s="102">
        <v>20</v>
      </c>
      <c r="G21" s="102">
        <v>45</v>
      </c>
      <c r="H21" s="102">
        <v>173.33</v>
      </c>
      <c r="I21" s="102">
        <f t="shared" si="1"/>
        <v>10399.800000000001</v>
      </c>
      <c r="K21" s="160"/>
    </row>
    <row r="22" spans="2:11" x14ac:dyDescent="0.2">
      <c r="B22" s="158">
        <v>5</v>
      </c>
      <c r="C22" s="161" t="s">
        <v>137</v>
      </c>
      <c r="D22" s="159">
        <v>2.528</v>
      </c>
      <c r="E22" s="160">
        <f t="shared" si="0"/>
        <v>9.3497827199999985</v>
      </c>
      <c r="F22" s="102">
        <v>20</v>
      </c>
      <c r="G22" s="102">
        <v>45</v>
      </c>
      <c r="H22" s="102">
        <v>173.33</v>
      </c>
      <c r="I22" s="102">
        <f t="shared" si="1"/>
        <v>10399.800000000001</v>
      </c>
      <c r="K22" s="160"/>
    </row>
    <row r="23" spans="2:11" x14ac:dyDescent="0.2">
      <c r="B23" s="158">
        <v>6</v>
      </c>
      <c r="C23" s="102" t="s">
        <v>70</v>
      </c>
      <c r="D23" s="159">
        <v>2.6539999999999999</v>
      </c>
      <c r="E23" s="160">
        <f t="shared" si="0"/>
        <v>9.8157924599999991</v>
      </c>
      <c r="F23" s="102">
        <v>20</v>
      </c>
      <c r="G23" s="102">
        <v>45</v>
      </c>
      <c r="H23" s="102">
        <v>173.33</v>
      </c>
      <c r="I23" s="102">
        <f t="shared" si="1"/>
        <v>10399.800000000001</v>
      </c>
      <c r="K23" s="160"/>
    </row>
    <row r="24" spans="2:11" x14ac:dyDescent="0.2">
      <c r="B24" s="158">
        <v>2</v>
      </c>
      <c r="C24" s="107" t="s">
        <v>39</v>
      </c>
      <c r="D24" s="159">
        <v>1.3009999999999999</v>
      </c>
      <c r="E24" s="160">
        <f t="shared" si="0"/>
        <v>4.8117354899999993</v>
      </c>
      <c r="F24" s="102">
        <v>20</v>
      </c>
      <c r="G24" s="102">
        <v>45</v>
      </c>
      <c r="H24" s="102">
        <v>173.33</v>
      </c>
      <c r="I24" s="102">
        <f t="shared" si="1"/>
        <v>10399.800000000001</v>
      </c>
      <c r="K24" s="160"/>
    </row>
    <row r="25" spans="2:11" x14ac:dyDescent="0.2">
      <c r="B25" s="158">
        <v>2</v>
      </c>
      <c r="C25" s="107" t="s">
        <v>40</v>
      </c>
      <c r="D25" s="159">
        <v>0.83</v>
      </c>
      <c r="E25" s="160">
        <f t="shared" si="0"/>
        <v>3.0697466999999996</v>
      </c>
      <c r="F25" s="102">
        <v>20</v>
      </c>
      <c r="G25" s="102">
        <v>45</v>
      </c>
      <c r="H25" s="102">
        <v>173.33</v>
      </c>
      <c r="I25" s="102">
        <f t="shared" si="1"/>
        <v>10399.800000000001</v>
      </c>
      <c r="K25" s="160"/>
    </row>
    <row r="26" spans="2:11" x14ac:dyDescent="0.2">
      <c r="B26" s="158">
        <v>2</v>
      </c>
      <c r="C26" s="107" t="s">
        <v>41</v>
      </c>
      <c r="D26" s="159">
        <v>2.4820000000000002</v>
      </c>
      <c r="E26" s="160">
        <f t="shared" si="0"/>
        <v>9.1796521799999997</v>
      </c>
      <c r="F26" s="102">
        <v>20</v>
      </c>
      <c r="G26" s="102">
        <v>45</v>
      </c>
      <c r="H26" s="102">
        <v>173.33</v>
      </c>
      <c r="I26" s="102">
        <f t="shared" si="1"/>
        <v>10399.800000000001</v>
      </c>
      <c r="K26" s="160"/>
    </row>
    <row r="27" spans="2:11" x14ac:dyDescent="0.2">
      <c r="B27" s="158">
        <v>6</v>
      </c>
      <c r="C27" s="128" t="s">
        <v>138</v>
      </c>
      <c r="D27" s="159">
        <v>2.9630000000000001</v>
      </c>
      <c r="E27" s="160">
        <f t="shared" si="0"/>
        <v>10.958625869999999</v>
      </c>
      <c r="F27" s="102">
        <v>20</v>
      </c>
      <c r="G27" s="102">
        <v>45</v>
      </c>
      <c r="H27" s="102">
        <v>173.33</v>
      </c>
      <c r="I27" s="102">
        <f t="shared" si="1"/>
        <v>10399.800000000001</v>
      </c>
      <c r="K27" s="160"/>
    </row>
    <row r="28" spans="2:11" x14ac:dyDescent="0.2">
      <c r="B28" s="158">
        <v>2</v>
      </c>
      <c r="C28" s="107" t="s">
        <v>42</v>
      </c>
      <c r="D28" s="159">
        <v>0.76200000000000001</v>
      </c>
      <c r="E28" s="160">
        <f t="shared" si="0"/>
        <v>2.8182493799999997</v>
      </c>
      <c r="F28" s="102">
        <v>20</v>
      </c>
      <c r="G28" s="102">
        <v>45</v>
      </c>
      <c r="H28" s="102">
        <v>173.33</v>
      </c>
      <c r="I28" s="102">
        <f t="shared" si="1"/>
        <v>10399.800000000001</v>
      </c>
      <c r="K28" s="160"/>
    </row>
    <row r="29" spans="2:11" x14ac:dyDescent="0.2">
      <c r="B29" s="158">
        <v>5</v>
      </c>
      <c r="C29" s="102" t="s">
        <v>64</v>
      </c>
      <c r="D29" s="159">
        <v>1.2330000000000001</v>
      </c>
      <c r="E29" s="160">
        <f t="shared" si="0"/>
        <v>4.5602381699999999</v>
      </c>
      <c r="F29" s="102">
        <v>20</v>
      </c>
      <c r="G29" s="102">
        <v>45</v>
      </c>
      <c r="H29" s="102">
        <v>173.33</v>
      </c>
      <c r="I29" s="102">
        <f t="shared" si="1"/>
        <v>10399.800000000001</v>
      </c>
      <c r="K29" s="160"/>
    </row>
    <row r="30" spans="2:11" x14ac:dyDescent="0.2">
      <c r="B30" s="158">
        <v>5</v>
      </c>
      <c r="C30" s="102" t="s">
        <v>65</v>
      </c>
      <c r="D30" s="159">
        <v>0.76200000000000001</v>
      </c>
      <c r="E30" s="160">
        <f t="shared" si="0"/>
        <v>2.8182493799999997</v>
      </c>
      <c r="F30" s="102">
        <v>20</v>
      </c>
      <c r="G30" s="102">
        <v>45</v>
      </c>
      <c r="H30" s="102">
        <v>173.33</v>
      </c>
      <c r="I30" s="102">
        <f t="shared" si="1"/>
        <v>10399.800000000001</v>
      </c>
      <c r="K30" s="160"/>
    </row>
    <row r="31" spans="2:11" x14ac:dyDescent="0.2">
      <c r="B31" s="158">
        <v>5</v>
      </c>
      <c r="C31" s="102" t="s">
        <v>66</v>
      </c>
      <c r="D31" s="159">
        <v>2.38</v>
      </c>
      <c r="E31" s="160">
        <f t="shared" si="0"/>
        <v>8.8024061999999983</v>
      </c>
      <c r="F31" s="102">
        <v>20</v>
      </c>
      <c r="G31" s="102">
        <v>45</v>
      </c>
      <c r="H31" s="102">
        <v>173.33</v>
      </c>
      <c r="I31" s="102">
        <f t="shared" si="1"/>
        <v>10399.800000000001</v>
      </c>
      <c r="K31" s="160"/>
    </row>
    <row r="32" spans="2:11" x14ac:dyDescent="0.2">
      <c r="B32" s="158">
        <v>2</v>
      </c>
      <c r="C32" s="107" t="s">
        <v>43</v>
      </c>
      <c r="D32" s="159">
        <v>1.3009999999999999</v>
      </c>
      <c r="E32" s="160">
        <f t="shared" si="0"/>
        <v>4.8117354899999993</v>
      </c>
      <c r="F32" s="102">
        <v>20</v>
      </c>
      <c r="G32" s="102">
        <v>45</v>
      </c>
      <c r="H32" s="102">
        <v>173.33</v>
      </c>
      <c r="I32" s="102">
        <f t="shared" si="1"/>
        <v>10399.800000000001</v>
      </c>
      <c r="K32" s="160"/>
    </row>
    <row r="33" spans="2:11" x14ac:dyDescent="0.2">
      <c r="B33" s="158">
        <v>2</v>
      </c>
      <c r="C33" s="107" t="s">
        <v>44</v>
      </c>
      <c r="D33" s="159">
        <v>0.83</v>
      </c>
      <c r="E33" s="160">
        <f t="shared" si="0"/>
        <v>3.0697466999999996</v>
      </c>
      <c r="F33" s="102">
        <v>20</v>
      </c>
      <c r="G33" s="102">
        <v>45</v>
      </c>
      <c r="H33" s="102">
        <v>173.33</v>
      </c>
      <c r="I33" s="102">
        <f t="shared" si="1"/>
        <v>10399.800000000001</v>
      </c>
      <c r="K33" s="160"/>
    </row>
    <row r="34" spans="2:11" x14ac:dyDescent="0.2">
      <c r="B34" s="158">
        <v>2</v>
      </c>
      <c r="C34" s="161" t="s">
        <v>154</v>
      </c>
      <c r="D34" s="159">
        <v>1</v>
      </c>
      <c r="E34" s="160">
        <f t="shared" si="0"/>
        <v>3.6984899999999996</v>
      </c>
      <c r="F34" s="102">
        <v>20</v>
      </c>
      <c r="G34" s="102">
        <v>45</v>
      </c>
      <c r="H34" s="102">
        <v>173.33</v>
      </c>
      <c r="I34" s="102">
        <f t="shared" si="1"/>
        <v>10399.800000000001</v>
      </c>
      <c r="K34" s="160"/>
    </row>
    <row r="35" spans="2:11" x14ac:dyDescent="0.2">
      <c r="B35" s="158">
        <v>4</v>
      </c>
      <c r="C35" s="102" t="s">
        <v>62</v>
      </c>
      <c r="D35" s="159">
        <v>1.296</v>
      </c>
      <c r="E35" s="160">
        <f t="shared" ref="E35:E60" si="2">D35*$E$7</f>
        <v>4.7932430399999992</v>
      </c>
      <c r="F35" s="102">
        <v>20</v>
      </c>
      <c r="G35" s="102">
        <v>45</v>
      </c>
      <c r="H35" s="102">
        <v>173.33</v>
      </c>
      <c r="I35" s="102">
        <f t="shared" si="1"/>
        <v>10399.800000000001</v>
      </c>
      <c r="K35" s="160"/>
    </row>
    <row r="36" spans="2:11" x14ac:dyDescent="0.2">
      <c r="B36" s="158">
        <v>2</v>
      </c>
      <c r="C36" s="107" t="s">
        <v>45</v>
      </c>
      <c r="D36" s="159">
        <v>2.4820000000000002</v>
      </c>
      <c r="E36" s="160">
        <f t="shared" si="2"/>
        <v>9.1796521799999997</v>
      </c>
      <c r="F36" s="102">
        <v>20</v>
      </c>
      <c r="G36" s="102">
        <v>45</v>
      </c>
      <c r="H36" s="102">
        <v>173.33</v>
      </c>
      <c r="I36" s="102">
        <f t="shared" si="1"/>
        <v>10399.800000000001</v>
      </c>
      <c r="K36" s="160"/>
    </row>
    <row r="37" spans="2:11" x14ac:dyDescent="0.2">
      <c r="B37" s="158">
        <v>4</v>
      </c>
      <c r="C37" s="107" t="s">
        <v>63</v>
      </c>
      <c r="D37" s="159">
        <v>1.3009999999999999</v>
      </c>
      <c r="E37" s="160">
        <f t="shared" si="2"/>
        <v>4.8117354899999993</v>
      </c>
      <c r="F37" s="102">
        <v>20</v>
      </c>
      <c r="G37" s="102">
        <v>45</v>
      </c>
      <c r="H37" s="102">
        <v>173.33</v>
      </c>
      <c r="I37" s="102">
        <f t="shared" si="1"/>
        <v>10399.800000000001</v>
      </c>
      <c r="K37" s="160"/>
    </row>
    <row r="38" spans="2:11" x14ac:dyDescent="0.2">
      <c r="B38" s="158">
        <v>2</v>
      </c>
      <c r="C38" s="107" t="s">
        <v>46</v>
      </c>
      <c r="D38" s="159">
        <v>0.83</v>
      </c>
      <c r="E38" s="160">
        <f t="shared" si="2"/>
        <v>3.0697466999999996</v>
      </c>
      <c r="F38" s="102">
        <v>20</v>
      </c>
      <c r="G38" s="102">
        <v>45</v>
      </c>
      <c r="H38" s="102">
        <v>173.33</v>
      </c>
      <c r="I38" s="102">
        <f t="shared" si="1"/>
        <v>10399.800000000001</v>
      </c>
      <c r="K38" s="160"/>
    </row>
    <row r="39" spans="2:11" x14ac:dyDescent="0.2">
      <c r="B39" s="158">
        <v>3</v>
      </c>
      <c r="C39" s="102" t="s">
        <v>54</v>
      </c>
      <c r="D39" s="159">
        <v>1.383</v>
      </c>
      <c r="E39" s="160">
        <f t="shared" si="2"/>
        <v>5.1150116699999995</v>
      </c>
      <c r="F39" s="102">
        <v>20</v>
      </c>
      <c r="G39" s="102">
        <v>45</v>
      </c>
      <c r="H39" s="102">
        <v>173.33</v>
      </c>
      <c r="I39" s="102">
        <f t="shared" si="1"/>
        <v>10399.800000000001</v>
      </c>
      <c r="K39" s="160"/>
    </row>
    <row r="40" spans="2:11" x14ac:dyDescent="0.2">
      <c r="B40" s="158">
        <v>3</v>
      </c>
      <c r="C40" s="102" t="s">
        <v>55</v>
      </c>
      <c r="D40" s="159">
        <v>1.139</v>
      </c>
      <c r="E40" s="160">
        <f t="shared" si="2"/>
        <v>4.2125801099999993</v>
      </c>
      <c r="F40" s="102">
        <v>20</v>
      </c>
      <c r="G40" s="102">
        <v>45</v>
      </c>
      <c r="H40" s="102">
        <v>173.33</v>
      </c>
      <c r="I40" s="102">
        <f t="shared" si="1"/>
        <v>10399.800000000001</v>
      </c>
      <c r="K40" s="160"/>
    </row>
    <row r="41" spans="2:11" x14ac:dyDescent="0.2">
      <c r="B41" s="158">
        <v>8</v>
      </c>
      <c r="C41" s="102" t="s">
        <v>77</v>
      </c>
      <c r="D41" s="159">
        <v>5.649</v>
      </c>
      <c r="E41" s="160">
        <f t="shared" si="2"/>
        <v>20.89277001</v>
      </c>
      <c r="F41" s="102">
        <v>20</v>
      </c>
      <c r="G41" s="102">
        <v>45</v>
      </c>
      <c r="H41" s="102">
        <v>173.33</v>
      </c>
      <c r="I41" s="102">
        <f t="shared" si="1"/>
        <v>10399.800000000001</v>
      </c>
      <c r="K41" s="160"/>
    </row>
    <row r="42" spans="2:11" x14ac:dyDescent="0.2">
      <c r="B42" s="158"/>
      <c r="C42" s="102" t="s">
        <v>79</v>
      </c>
      <c r="D42" s="102">
        <v>0.44</v>
      </c>
      <c r="E42" s="160">
        <f t="shared" si="2"/>
        <v>1.6273355999999999</v>
      </c>
      <c r="F42" s="102">
        <v>20</v>
      </c>
      <c r="G42" s="102">
        <v>45</v>
      </c>
      <c r="H42" s="102">
        <v>173.33</v>
      </c>
      <c r="I42" s="102">
        <f t="shared" si="1"/>
        <v>10399.800000000001</v>
      </c>
      <c r="K42" s="160"/>
    </row>
    <row r="43" spans="2:11" x14ac:dyDescent="0.2">
      <c r="B43" s="158">
        <v>5</v>
      </c>
      <c r="C43" s="102" t="s">
        <v>67</v>
      </c>
      <c r="D43" s="159">
        <v>1.002</v>
      </c>
      <c r="E43" s="160">
        <f t="shared" si="2"/>
        <v>3.7058869799999998</v>
      </c>
      <c r="F43" s="102">
        <v>20</v>
      </c>
      <c r="G43" s="102">
        <v>45</v>
      </c>
      <c r="H43" s="102">
        <v>173.33</v>
      </c>
      <c r="I43" s="102">
        <f t="shared" si="1"/>
        <v>10399.800000000001</v>
      </c>
      <c r="K43" s="160"/>
    </row>
    <row r="44" spans="2:11" x14ac:dyDescent="0.2">
      <c r="B44" s="158"/>
      <c r="C44" s="102" t="s">
        <v>80</v>
      </c>
      <c r="D44" s="102">
        <v>0.253</v>
      </c>
      <c r="E44" s="160">
        <f t="shared" si="2"/>
        <v>0.9357179699999999</v>
      </c>
      <c r="F44" s="102">
        <v>20</v>
      </c>
      <c r="G44" s="102">
        <v>45</v>
      </c>
      <c r="H44" s="102">
        <v>173.33</v>
      </c>
      <c r="I44" s="102">
        <f t="shared" si="1"/>
        <v>10399.800000000001</v>
      </c>
      <c r="K44" s="160"/>
    </row>
    <row r="45" spans="2:11" x14ac:dyDescent="0.2">
      <c r="B45" s="158">
        <v>8</v>
      </c>
      <c r="C45" s="128" t="s">
        <v>139</v>
      </c>
      <c r="D45" s="159">
        <v>4.3600000000000003</v>
      </c>
      <c r="E45" s="160">
        <f t="shared" si="2"/>
        <v>16.125416399999999</v>
      </c>
      <c r="F45" s="102">
        <v>20</v>
      </c>
      <c r="G45" s="102">
        <v>45</v>
      </c>
      <c r="H45" s="102">
        <v>173.33</v>
      </c>
      <c r="I45" s="102">
        <f t="shared" si="1"/>
        <v>10399.800000000001</v>
      </c>
      <c r="K45" s="160"/>
    </row>
    <row r="46" spans="2:11" x14ac:dyDescent="0.2">
      <c r="B46" s="158">
        <v>8</v>
      </c>
      <c r="C46" s="102" t="s">
        <v>78</v>
      </c>
      <c r="D46" s="159">
        <v>4.3600000000000003</v>
      </c>
      <c r="E46" s="160">
        <f t="shared" si="2"/>
        <v>16.125416399999999</v>
      </c>
      <c r="F46" s="102">
        <v>20</v>
      </c>
      <c r="G46" s="102">
        <v>45</v>
      </c>
      <c r="H46" s="102">
        <v>173.33</v>
      </c>
      <c r="I46" s="102">
        <f t="shared" si="1"/>
        <v>10399.800000000001</v>
      </c>
      <c r="K46" s="160"/>
    </row>
    <row r="47" spans="2:11" x14ac:dyDescent="0.2">
      <c r="B47" s="158">
        <v>2</v>
      </c>
      <c r="C47" s="107" t="s">
        <v>47</v>
      </c>
      <c r="D47" s="159">
        <v>0.88500000000000001</v>
      </c>
      <c r="E47" s="160">
        <f t="shared" si="2"/>
        <v>3.2731636499999999</v>
      </c>
      <c r="F47" s="102">
        <v>20</v>
      </c>
      <c r="G47" s="102">
        <v>45</v>
      </c>
      <c r="H47" s="102">
        <v>173.33</v>
      </c>
      <c r="I47" s="102">
        <f t="shared" si="1"/>
        <v>10399.800000000001</v>
      </c>
      <c r="K47" s="160"/>
    </row>
    <row r="48" spans="2:11" x14ac:dyDescent="0.2">
      <c r="B48" s="158">
        <v>3</v>
      </c>
      <c r="C48" s="102" t="s">
        <v>56</v>
      </c>
      <c r="D48" s="159">
        <v>0.94399999999999995</v>
      </c>
      <c r="E48" s="160">
        <f t="shared" si="2"/>
        <v>3.4913745599999992</v>
      </c>
      <c r="F48" s="102">
        <v>20</v>
      </c>
      <c r="G48" s="102">
        <v>45</v>
      </c>
      <c r="H48" s="102">
        <v>173.33</v>
      </c>
      <c r="I48" s="102">
        <f t="shared" si="1"/>
        <v>10399.800000000001</v>
      </c>
      <c r="K48" s="160"/>
    </row>
    <row r="49" spans="2:11" x14ac:dyDescent="0.2">
      <c r="B49" s="158">
        <v>3</v>
      </c>
      <c r="C49" s="102" t="s">
        <v>57</v>
      </c>
      <c r="D49" s="159">
        <v>0.59699999999999998</v>
      </c>
      <c r="E49" s="160">
        <f t="shared" si="2"/>
        <v>2.2079985299999998</v>
      </c>
      <c r="F49" s="102">
        <v>20</v>
      </c>
      <c r="G49" s="102">
        <v>45</v>
      </c>
      <c r="H49" s="102">
        <v>173.33</v>
      </c>
      <c r="I49" s="102">
        <f t="shared" si="1"/>
        <v>10399.800000000001</v>
      </c>
      <c r="K49" s="160"/>
    </row>
    <row r="50" spans="2:11" x14ac:dyDescent="0.2">
      <c r="B50" s="158">
        <v>3</v>
      </c>
      <c r="C50" s="102" t="s">
        <v>58</v>
      </c>
      <c r="D50" s="159">
        <v>1.2330000000000001</v>
      </c>
      <c r="E50" s="160">
        <f t="shared" si="2"/>
        <v>4.5602381699999999</v>
      </c>
      <c r="F50" s="102">
        <v>20</v>
      </c>
      <c r="G50" s="102">
        <v>45</v>
      </c>
      <c r="H50" s="102">
        <v>173.33</v>
      </c>
      <c r="I50" s="102">
        <f t="shared" si="1"/>
        <v>10399.800000000001</v>
      </c>
      <c r="K50" s="160"/>
    </row>
    <row r="51" spans="2:11" x14ac:dyDescent="0.2">
      <c r="B51" s="158">
        <v>7</v>
      </c>
      <c r="C51" s="102" t="s">
        <v>73</v>
      </c>
      <c r="D51" s="159">
        <v>3.6749999999999998</v>
      </c>
      <c r="E51" s="160">
        <f t="shared" si="2"/>
        <v>13.591950749999999</v>
      </c>
      <c r="F51" s="102">
        <v>20</v>
      </c>
      <c r="G51" s="102">
        <v>45</v>
      </c>
      <c r="H51" s="102">
        <v>173.33</v>
      </c>
      <c r="I51" s="102">
        <f t="shared" si="1"/>
        <v>10399.800000000001</v>
      </c>
      <c r="K51" s="160"/>
    </row>
    <row r="52" spans="2:11" x14ac:dyDescent="0.2">
      <c r="B52" s="158">
        <v>7</v>
      </c>
      <c r="C52" s="128" t="s">
        <v>74</v>
      </c>
      <c r="D52" s="159">
        <v>2.0870000000000002</v>
      </c>
      <c r="E52" s="160">
        <f t="shared" si="2"/>
        <v>7.7187486299999994</v>
      </c>
      <c r="F52" s="102">
        <v>20</v>
      </c>
      <c r="G52" s="102">
        <v>45</v>
      </c>
      <c r="H52" s="102">
        <v>173.33</v>
      </c>
      <c r="I52" s="102">
        <f t="shared" si="1"/>
        <v>10399.800000000001</v>
      </c>
      <c r="K52" s="160"/>
    </row>
    <row r="53" spans="2:11" x14ac:dyDescent="0.2">
      <c r="B53" s="158">
        <v>4</v>
      </c>
      <c r="C53" s="128" t="s">
        <v>146</v>
      </c>
      <c r="D53" s="159">
        <v>1.536</v>
      </c>
      <c r="E53" s="160">
        <f t="shared" si="2"/>
        <v>5.6808806399999998</v>
      </c>
      <c r="F53" s="102">
        <v>20</v>
      </c>
      <c r="G53" s="102">
        <v>45</v>
      </c>
      <c r="H53" s="102">
        <v>173.33</v>
      </c>
      <c r="I53" s="102">
        <f t="shared" si="1"/>
        <v>10399.800000000001</v>
      </c>
      <c r="K53" s="160"/>
    </row>
    <row r="54" spans="2:11" x14ac:dyDescent="0.2">
      <c r="B54" s="158">
        <v>6</v>
      </c>
      <c r="C54" s="128" t="s">
        <v>71</v>
      </c>
      <c r="D54" s="159">
        <v>2.5169999999999999</v>
      </c>
      <c r="E54" s="160">
        <f t="shared" si="2"/>
        <v>9.3090993299999987</v>
      </c>
      <c r="F54" s="102">
        <v>20</v>
      </c>
      <c r="G54" s="102">
        <v>45</v>
      </c>
      <c r="H54" s="102">
        <v>173.33</v>
      </c>
      <c r="I54" s="102">
        <f t="shared" si="1"/>
        <v>10399.800000000001</v>
      </c>
      <c r="K54" s="160"/>
    </row>
    <row r="55" spans="2:11" x14ac:dyDescent="0.2">
      <c r="B55" s="158">
        <v>4</v>
      </c>
      <c r="C55" s="128" t="s">
        <v>152</v>
      </c>
      <c r="D55" s="159">
        <v>1.365</v>
      </c>
      <c r="E55" s="160">
        <f t="shared" si="2"/>
        <v>5.0484388499999993</v>
      </c>
      <c r="F55" s="102">
        <v>20</v>
      </c>
      <c r="G55" s="102">
        <v>45</v>
      </c>
      <c r="H55" s="102">
        <v>173.33</v>
      </c>
      <c r="I55" s="102">
        <f t="shared" ref="I55" si="3">H55*60</f>
        <v>10399.800000000001</v>
      </c>
      <c r="K55" s="160"/>
    </row>
    <row r="56" spans="2:11" x14ac:dyDescent="0.2">
      <c r="B56" s="158">
        <v>1</v>
      </c>
      <c r="C56" s="107" t="s">
        <v>30</v>
      </c>
      <c r="D56" s="159">
        <v>1.304</v>
      </c>
      <c r="E56" s="160">
        <f t="shared" si="2"/>
        <v>4.8228309600000001</v>
      </c>
      <c r="F56" s="102">
        <v>20</v>
      </c>
      <c r="G56" s="102">
        <v>45</v>
      </c>
      <c r="H56" s="102">
        <v>173.33</v>
      </c>
      <c r="I56" s="102">
        <f t="shared" si="1"/>
        <v>10399.800000000001</v>
      </c>
      <c r="K56" s="160"/>
    </row>
    <row r="57" spans="2:11" x14ac:dyDescent="0.2">
      <c r="B57" s="158">
        <v>1</v>
      </c>
      <c r="C57" s="107" t="s">
        <v>31</v>
      </c>
      <c r="D57" s="159">
        <v>0.64500000000000002</v>
      </c>
      <c r="E57" s="160">
        <f t="shared" si="2"/>
        <v>2.3855260499999997</v>
      </c>
      <c r="F57" s="102">
        <v>20</v>
      </c>
      <c r="G57" s="102">
        <v>45</v>
      </c>
      <c r="H57" s="102">
        <v>173.33</v>
      </c>
      <c r="I57" s="102">
        <f t="shared" si="1"/>
        <v>10399.800000000001</v>
      </c>
      <c r="K57" s="160"/>
    </row>
    <row r="58" spans="2:11" x14ac:dyDescent="0.2">
      <c r="B58" s="158">
        <v>2</v>
      </c>
      <c r="C58" s="107" t="s">
        <v>48</v>
      </c>
      <c r="D58" s="159">
        <v>1.1970000000000001</v>
      </c>
      <c r="E58" s="160">
        <f t="shared" si="2"/>
        <v>4.4270925299999995</v>
      </c>
      <c r="F58" s="102">
        <v>20</v>
      </c>
      <c r="G58" s="102">
        <v>45</v>
      </c>
      <c r="H58" s="102">
        <v>173.33</v>
      </c>
      <c r="I58" s="102">
        <f t="shared" si="1"/>
        <v>10399.800000000001</v>
      </c>
      <c r="K58" s="160"/>
    </row>
    <row r="59" spans="2:11" x14ac:dyDescent="0.2">
      <c r="B59" s="158">
        <v>2</v>
      </c>
      <c r="C59" s="107" t="s">
        <v>49</v>
      </c>
      <c r="D59" s="159">
        <v>0.88500000000000001</v>
      </c>
      <c r="E59" s="160">
        <f t="shared" si="2"/>
        <v>3.2731636499999999</v>
      </c>
      <c r="F59" s="102">
        <v>20</v>
      </c>
      <c r="G59" s="102">
        <v>45</v>
      </c>
      <c r="H59" s="102">
        <v>173.33</v>
      </c>
      <c r="I59" s="102">
        <f t="shared" si="1"/>
        <v>10399.800000000001</v>
      </c>
      <c r="K59" s="160"/>
    </row>
    <row r="60" spans="2:11" x14ac:dyDescent="0.2">
      <c r="B60" s="158">
        <v>1</v>
      </c>
      <c r="C60" s="107" t="s">
        <v>32</v>
      </c>
      <c r="D60" s="159">
        <v>0.66500000000000004</v>
      </c>
      <c r="E60" s="160">
        <f t="shared" si="2"/>
        <v>2.4594958499999997</v>
      </c>
      <c r="F60" s="102">
        <v>20</v>
      </c>
      <c r="G60" s="102">
        <v>45</v>
      </c>
      <c r="H60" s="102">
        <v>173.33</v>
      </c>
      <c r="I60" s="102">
        <f t="shared" si="1"/>
        <v>10399.800000000001</v>
      </c>
      <c r="K60" s="160"/>
    </row>
    <row r="61" spans="2:11" x14ac:dyDescent="0.2">
      <c r="B61" s="158"/>
      <c r="C61" s="102" t="s">
        <v>20</v>
      </c>
      <c r="D61" s="102">
        <v>0.253</v>
      </c>
      <c r="E61" s="160">
        <f t="shared" ref="E61:E72" si="4">D61*$E$7</f>
        <v>0.9357179699999999</v>
      </c>
      <c r="F61" s="102">
        <v>20</v>
      </c>
      <c r="G61" s="102">
        <v>45</v>
      </c>
      <c r="H61" s="102">
        <v>173.33</v>
      </c>
      <c r="I61" s="102">
        <f t="shared" si="1"/>
        <v>10399.800000000001</v>
      </c>
      <c r="K61" s="160"/>
    </row>
    <row r="62" spans="2:11" x14ac:dyDescent="0.2">
      <c r="B62" s="158">
        <v>1</v>
      </c>
      <c r="C62" s="107" t="s">
        <v>33</v>
      </c>
      <c r="D62" s="159">
        <v>0.65</v>
      </c>
      <c r="E62" s="160">
        <f t="shared" si="4"/>
        <v>2.4040184999999998</v>
      </c>
      <c r="F62" s="102">
        <v>20</v>
      </c>
      <c r="G62" s="102">
        <v>45</v>
      </c>
      <c r="H62" s="102">
        <v>173.33</v>
      </c>
      <c r="I62" s="102">
        <f t="shared" ref="I62:I72" si="5">H62*60</f>
        <v>10399.800000000001</v>
      </c>
      <c r="K62" s="160"/>
    </row>
    <row r="63" spans="2:11" x14ac:dyDescent="0.2">
      <c r="B63" s="158">
        <v>2</v>
      </c>
      <c r="C63" s="107" t="s">
        <v>50</v>
      </c>
      <c r="D63" s="159">
        <v>1.296</v>
      </c>
      <c r="E63" s="160">
        <f t="shared" si="4"/>
        <v>4.7932430399999992</v>
      </c>
      <c r="F63" s="102">
        <v>20</v>
      </c>
      <c r="G63" s="102">
        <v>45</v>
      </c>
      <c r="H63" s="102">
        <v>173.33</v>
      </c>
      <c r="I63" s="102">
        <f t="shared" si="5"/>
        <v>10399.800000000001</v>
      </c>
      <c r="K63" s="160"/>
    </row>
    <row r="64" spans="2:11" x14ac:dyDescent="0.2">
      <c r="B64" s="158">
        <v>2</v>
      </c>
      <c r="C64" s="107" t="s">
        <v>51</v>
      </c>
      <c r="D64" s="159">
        <v>0.96699999999999997</v>
      </c>
      <c r="E64" s="160">
        <f t="shared" si="4"/>
        <v>3.5764398299999995</v>
      </c>
      <c r="F64" s="102">
        <v>20</v>
      </c>
      <c r="G64" s="102">
        <v>45</v>
      </c>
      <c r="H64" s="102">
        <v>173.33</v>
      </c>
      <c r="I64" s="102">
        <f t="shared" si="5"/>
        <v>10399.800000000001</v>
      </c>
      <c r="K64" s="160"/>
    </row>
    <row r="65" spans="2:11" x14ac:dyDescent="0.2">
      <c r="B65" s="158">
        <v>2</v>
      </c>
      <c r="C65" s="107" t="s">
        <v>52</v>
      </c>
      <c r="D65" s="159">
        <v>1.07</v>
      </c>
      <c r="E65" s="160">
        <f t="shared" si="4"/>
        <v>3.9573842999999997</v>
      </c>
      <c r="F65" s="102">
        <v>20</v>
      </c>
      <c r="G65" s="102">
        <v>45</v>
      </c>
      <c r="H65" s="102">
        <v>173.33</v>
      </c>
      <c r="I65" s="102">
        <f t="shared" si="5"/>
        <v>10399.800000000001</v>
      </c>
      <c r="K65" s="160"/>
    </row>
    <row r="66" spans="2:11" x14ac:dyDescent="0.2">
      <c r="B66" s="158">
        <v>4</v>
      </c>
      <c r="C66" s="107" t="s">
        <v>52</v>
      </c>
      <c r="D66" s="159">
        <v>1.383</v>
      </c>
      <c r="E66" s="160">
        <f t="shared" si="4"/>
        <v>5.1150116699999995</v>
      </c>
      <c r="F66" s="102">
        <v>20</v>
      </c>
      <c r="G66" s="102">
        <v>45</v>
      </c>
      <c r="H66" s="102">
        <v>173.33</v>
      </c>
      <c r="I66" s="102">
        <f t="shared" si="5"/>
        <v>10399.800000000001</v>
      </c>
      <c r="K66" s="160"/>
    </row>
    <row r="67" spans="2:11" x14ac:dyDescent="0.2">
      <c r="B67" s="158">
        <v>5</v>
      </c>
      <c r="C67" s="102" t="s">
        <v>68</v>
      </c>
      <c r="D67" s="159">
        <v>1.3879999999999999</v>
      </c>
      <c r="E67" s="160">
        <f t="shared" si="4"/>
        <v>5.1335041199999987</v>
      </c>
      <c r="F67" s="102">
        <v>20</v>
      </c>
      <c r="G67" s="102">
        <v>45</v>
      </c>
      <c r="H67" s="102">
        <v>173.33</v>
      </c>
      <c r="I67" s="102">
        <f t="shared" si="5"/>
        <v>10399.800000000001</v>
      </c>
      <c r="K67" s="160"/>
    </row>
    <row r="68" spans="2:11" x14ac:dyDescent="0.2">
      <c r="B68" s="158">
        <v>2</v>
      </c>
      <c r="C68" s="107" t="s">
        <v>53</v>
      </c>
      <c r="D68" s="159">
        <v>0.83</v>
      </c>
      <c r="E68" s="160">
        <f t="shared" si="4"/>
        <v>3.0697466999999996</v>
      </c>
      <c r="F68" s="102">
        <v>20</v>
      </c>
      <c r="G68" s="102">
        <v>45</v>
      </c>
      <c r="H68" s="102">
        <v>173.33</v>
      </c>
      <c r="I68" s="102">
        <f t="shared" si="5"/>
        <v>10399.800000000001</v>
      </c>
      <c r="K68" s="160"/>
    </row>
    <row r="69" spans="2:11" x14ac:dyDescent="0.2">
      <c r="B69" s="158">
        <v>3</v>
      </c>
      <c r="C69" s="102" t="s">
        <v>59</v>
      </c>
      <c r="D69" s="159">
        <v>0.19500000000000001</v>
      </c>
      <c r="E69" s="160">
        <f t="shared" si="4"/>
        <v>0.72120554999999997</v>
      </c>
      <c r="F69" s="102">
        <v>20</v>
      </c>
      <c r="G69" s="102">
        <v>45</v>
      </c>
      <c r="H69" s="102">
        <v>173.33</v>
      </c>
      <c r="I69" s="102">
        <f t="shared" si="5"/>
        <v>10399.800000000001</v>
      </c>
      <c r="K69" s="160"/>
    </row>
    <row r="70" spans="2:11" x14ac:dyDescent="0.2">
      <c r="B70" s="158">
        <v>7</v>
      </c>
      <c r="C70" s="102" t="s">
        <v>75</v>
      </c>
      <c r="D70" s="159">
        <v>4.0860000000000003</v>
      </c>
      <c r="E70" s="160">
        <f t="shared" si="4"/>
        <v>15.11203014</v>
      </c>
      <c r="F70" s="102">
        <v>20</v>
      </c>
      <c r="G70" s="102">
        <v>45</v>
      </c>
      <c r="H70" s="102">
        <v>173.33</v>
      </c>
      <c r="I70" s="102">
        <f t="shared" si="5"/>
        <v>10399.800000000001</v>
      </c>
      <c r="K70" s="160"/>
    </row>
    <row r="71" spans="2:11" x14ac:dyDescent="0.2">
      <c r="B71" s="158">
        <v>4</v>
      </c>
      <c r="C71" s="128" t="s">
        <v>140</v>
      </c>
      <c r="D71" s="159">
        <v>1.619</v>
      </c>
      <c r="E71" s="160">
        <f t="shared" si="4"/>
        <v>5.9878553099999996</v>
      </c>
      <c r="F71" s="102">
        <v>20</v>
      </c>
      <c r="G71" s="102">
        <v>45</v>
      </c>
      <c r="H71" s="102">
        <v>173.33</v>
      </c>
      <c r="I71" s="102">
        <f t="shared" si="5"/>
        <v>10399.800000000001</v>
      </c>
      <c r="K71" s="160"/>
    </row>
    <row r="72" spans="2:11" x14ac:dyDescent="0.2">
      <c r="B72" s="158">
        <v>7</v>
      </c>
      <c r="C72" s="102" t="s">
        <v>76</v>
      </c>
      <c r="D72" s="159">
        <v>3.95</v>
      </c>
      <c r="E72" s="160">
        <f t="shared" si="4"/>
        <v>14.609035499999999</v>
      </c>
      <c r="F72" s="102">
        <v>20</v>
      </c>
      <c r="G72" s="102">
        <v>45</v>
      </c>
      <c r="H72" s="102">
        <v>173.33</v>
      </c>
      <c r="I72" s="102">
        <f t="shared" si="5"/>
        <v>10399.800000000001</v>
      </c>
      <c r="K72" s="160"/>
    </row>
    <row r="73" spans="2:11" x14ac:dyDescent="0.2">
      <c r="C73" s="164" t="s">
        <v>156</v>
      </c>
      <c r="E73" s="160">
        <f t="shared" ref="E73:E78" si="6">D73*$E$7</f>
        <v>0</v>
      </c>
      <c r="F73" s="102">
        <v>20</v>
      </c>
      <c r="G73" s="102">
        <v>45</v>
      </c>
      <c r="H73" s="102">
        <v>173.33</v>
      </c>
      <c r="I73" s="102">
        <f t="shared" ref="I73:I78" si="7">H73*60</f>
        <v>10399.800000000001</v>
      </c>
      <c r="K73" s="160"/>
    </row>
    <row r="74" spans="2:11" x14ac:dyDescent="0.2">
      <c r="C74" s="164" t="s">
        <v>156</v>
      </c>
      <c r="E74" s="160">
        <f t="shared" si="6"/>
        <v>0</v>
      </c>
      <c r="F74" s="102">
        <v>20</v>
      </c>
      <c r="G74" s="102">
        <v>45</v>
      </c>
      <c r="H74" s="102">
        <v>173.33</v>
      </c>
      <c r="I74" s="102">
        <f t="shared" si="7"/>
        <v>10399.800000000001</v>
      </c>
      <c r="K74" s="160"/>
    </row>
    <row r="75" spans="2:11" x14ac:dyDescent="0.2">
      <c r="C75" s="164" t="s">
        <v>156</v>
      </c>
      <c r="E75" s="160">
        <f t="shared" si="6"/>
        <v>0</v>
      </c>
      <c r="F75" s="102">
        <v>20</v>
      </c>
      <c r="G75" s="102">
        <v>45</v>
      </c>
      <c r="H75" s="102">
        <v>173.33</v>
      </c>
      <c r="I75" s="102">
        <f t="shared" si="7"/>
        <v>10399.800000000001</v>
      </c>
      <c r="K75" s="160"/>
    </row>
    <row r="76" spans="2:11" x14ac:dyDescent="0.2">
      <c r="C76" s="164" t="s">
        <v>156</v>
      </c>
      <c r="E76" s="160">
        <f t="shared" si="6"/>
        <v>0</v>
      </c>
      <c r="F76" s="102">
        <v>20</v>
      </c>
      <c r="G76" s="102">
        <v>45</v>
      </c>
      <c r="H76" s="102">
        <v>173.33</v>
      </c>
      <c r="I76" s="102">
        <f t="shared" si="7"/>
        <v>10399.800000000001</v>
      </c>
      <c r="K76" s="160"/>
    </row>
    <row r="77" spans="2:11" x14ac:dyDescent="0.2">
      <c r="C77" s="164" t="s">
        <v>156</v>
      </c>
      <c r="E77" s="160">
        <f t="shared" si="6"/>
        <v>0</v>
      </c>
      <c r="F77" s="102">
        <v>20</v>
      </c>
      <c r="G77" s="102">
        <v>45</v>
      </c>
      <c r="H77" s="102">
        <v>173.33</v>
      </c>
      <c r="I77" s="102">
        <f t="shared" si="7"/>
        <v>10399.800000000001</v>
      </c>
      <c r="K77" s="160"/>
    </row>
    <row r="78" spans="2:11" x14ac:dyDescent="0.2">
      <c r="C78" s="164" t="s">
        <v>156</v>
      </c>
      <c r="E78" s="160">
        <f t="shared" si="6"/>
        <v>0</v>
      </c>
      <c r="F78" s="102">
        <v>20</v>
      </c>
      <c r="G78" s="102">
        <v>45</v>
      </c>
      <c r="H78" s="102">
        <v>173.33</v>
      </c>
      <c r="I78" s="102">
        <f t="shared" si="7"/>
        <v>10399.800000000001</v>
      </c>
      <c r="K78" s="160"/>
    </row>
    <row r="79" spans="2:11" x14ac:dyDescent="0.2">
      <c r="C79" s="164" t="s">
        <v>156</v>
      </c>
      <c r="E79" s="160"/>
    </row>
    <row r="81" spans="3:4" x14ac:dyDescent="0.2">
      <c r="C81" s="157" t="s">
        <v>91</v>
      </c>
      <c r="D81" s="128" t="s">
        <v>87</v>
      </c>
    </row>
    <row r="82" spans="3:4" x14ac:dyDescent="0.2">
      <c r="C82" s="128" t="s">
        <v>145</v>
      </c>
      <c r="D82" s="128" t="s">
        <v>92</v>
      </c>
    </row>
  </sheetData>
  <sheetProtection algorithmName="SHA-512" hashValue="0BIHkXidQHdimN9U7n7hto6gRs9a7J5FJ6b0bMVG46PzPLOtcc4dw2z2HIgEkA4hucSbl7Gx/BBlyslLdfnmOQ==" saltValue="V5LtLyx3CZLT4ONR3FqcqQ==" spinCount="100000" sheet="1" objects="1" scenarios="1"/>
  <customSheetViews>
    <customSheetView guid="{4B7E793F-FF7C-4BA4-8EC7-9B719AA3D607}">
      <selection activeCell="E2" sqref="E2"/>
      <pageMargins left="0.7" right="0.7" top="0.75" bottom="0.75" header="0.3" footer="0.3"/>
      <pageSetup orientation="portrait" horizontalDpi="1200" verticalDpi="1200" r:id="rId1"/>
    </customSheetView>
  </customSheetViews>
  <pageMargins left="0.7" right="0.7" top="0.75" bottom="0.75" header="0.3" footer="0.3"/>
  <pageSetup orientation="portrait" horizontalDpi="1200" verticalDpi="12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Q131"/>
  <sheetViews>
    <sheetView zoomScaleNormal="100" workbookViewId="0">
      <selection activeCell="E6" sqref="E6"/>
    </sheetView>
  </sheetViews>
  <sheetFormatPr defaultRowHeight="12.75" x14ac:dyDescent="0.2"/>
  <cols>
    <col min="1" max="1" width="3.7109375" customWidth="1"/>
    <col min="2" max="2" width="52.42578125" customWidth="1"/>
    <col min="3" max="3" width="11.7109375" customWidth="1"/>
    <col min="4" max="4" width="10.42578125" style="8" customWidth="1"/>
    <col min="5" max="5" width="9.140625" style="6" bestFit="1" customWidth="1"/>
    <col min="6" max="6" width="12.85546875" customWidth="1"/>
    <col min="8" max="8" width="12.5703125" customWidth="1"/>
    <col min="11" max="11" width="11.42578125" customWidth="1"/>
  </cols>
  <sheetData>
    <row r="1" spans="1:7" ht="15.75" x14ac:dyDescent="0.25">
      <c r="A1" s="18" t="str">
        <f>'Hospital Input Page'!A1</f>
        <v>Grover Dils</v>
      </c>
      <c r="B1" s="19"/>
      <c r="C1" s="18" t="s">
        <v>127</v>
      </c>
      <c r="D1" s="196">
        <f>'Hospital Input Page'!F6</f>
        <v>2019</v>
      </c>
      <c r="E1" s="19"/>
      <c r="F1" s="10"/>
    </row>
    <row r="2" spans="1:7" ht="12.95" customHeight="1" x14ac:dyDescent="0.25">
      <c r="A2" s="18" t="str">
        <f>'Hospital Input Page'!A2</f>
        <v>LiCON MONTHLY REPORT FORM (MRF)</v>
      </c>
      <c r="B2" s="19"/>
      <c r="C2" s="19"/>
      <c r="D2" s="20"/>
      <c r="E2" s="19"/>
      <c r="F2" s="10"/>
    </row>
    <row r="3" spans="1:7" ht="12.95" customHeight="1" x14ac:dyDescent="0.25">
      <c r="A3" s="18"/>
      <c r="B3" s="21"/>
      <c r="D3" s="20"/>
      <c r="E3" s="22"/>
      <c r="F3" s="10"/>
    </row>
    <row r="4" spans="1:7" ht="12.95" customHeight="1" x14ac:dyDescent="0.2">
      <c r="F4" s="10"/>
    </row>
    <row r="5" spans="1:7" ht="12.95" customHeight="1" x14ac:dyDescent="0.25">
      <c r="B5" s="21" t="s">
        <v>24</v>
      </c>
      <c r="C5" s="168">
        <f>F39</f>
        <v>4036.5270439538162</v>
      </c>
      <c r="E5"/>
      <c r="F5" s="10"/>
    </row>
    <row r="6" spans="1:7" ht="12.95" customHeight="1" x14ac:dyDescent="0.2">
      <c r="C6" s="2"/>
      <c r="F6" s="10"/>
    </row>
    <row r="7" spans="1:7" ht="12.95" customHeight="1" x14ac:dyDescent="0.2">
      <c r="B7" s="58" t="str">
        <f>'Hospital Input Page'!$B$5</f>
        <v>Deductible</v>
      </c>
      <c r="C7" s="58">
        <f>'Hospital Input Page'!$C$5</f>
        <v>10000</v>
      </c>
      <c r="F7" s="10"/>
    </row>
    <row r="8" spans="1:7" ht="12.95" customHeight="1" x14ac:dyDescent="0.2">
      <c r="B8" s="1"/>
      <c r="C8" s="3"/>
      <c r="F8" s="10"/>
      <c r="G8" s="31"/>
    </row>
    <row r="9" spans="1:7" ht="12.95" customHeight="1" thickBot="1" x14ac:dyDescent="0.25">
      <c r="A9" s="4"/>
      <c r="B9" s="23" t="s">
        <v>0</v>
      </c>
      <c r="C9" s="23" t="s">
        <v>1</v>
      </c>
      <c r="D9" s="24" t="s">
        <v>27</v>
      </c>
      <c r="E9" s="25"/>
      <c r="F9" s="49" t="s">
        <v>111</v>
      </c>
      <c r="G9" s="31"/>
    </row>
    <row r="10" spans="1:7" ht="12.95" customHeight="1" x14ac:dyDescent="0.2">
      <c r="A10" s="29">
        <v>1</v>
      </c>
      <c r="B10" s="113" t="s">
        <v>2</v>
      </c>
      <c r="C10" s="5">
        <f>INDEX(Hospital_Exposure_August,MATCH(August!B10,Hospital_Exposure_Name,0))</f>
        <v>0.17</v>
      </c>
      <c r="D10" s="17">
        <f>INDEX(Hospital_Exposure_Rate,MATCH(August!B10,Hospital_Exposure_Name,0))</f>
        <v>527.69012023747894</v>
      </c>
      <c r="E10" s="28" t="s">
        <v>21</v>
      </c>
      <c r="F10" s="50">
        <f t="shared" ref="F10:F15" si="0">C10*D10</f>
        <v>89.707320440371419</v>
      </c>
    </row>
    <row r="11" spans="1:7" ht="12.95" customHeight="1" x14ac:dyDescent="0.2">
      <c r="A11" s="29">
        <f>A10+1</f>
        <v>2</v>
      </c>
      <c r="B11" s="118" t="s">
        <v>3</v>
      </c>
      <c r="C11" s="5">
        <f>INDEX(Hospital_Exposure_August,MATCH(August!B11,Hospital_Exposure_Name,0))</f>
        <v>0</v>
      </c>
      <c r="D11" s="17">
        <f>INDEX(Hospital_Exposure_Rate,MATCH(August!B11,Hospital_Exposure_Name,0))</f>
        <v>527.69012023747894</v>
      </c>
      <c r="E11" s="28" t="s">
        <v>21</v>
      </c>
      <c r="F11" s="50">
        <f t="shared" si="0"/>
        <v>0</v>
      </c>
    </row>
    <row r="12" spans="1:7" ht="12.95" customHeight="1" x14ac:dyDescent="0.2">
      <c r="A12" s="29">
        <f t="shared" ref="A12:A35" si="1">A11+1</f>
        <v>3</v>
      </c>
      <c r="B12" s="118" t="s">
        <v>4</v>
      </c>
      <c r="C12" s="5">
        <f>INDEX(Hospital_Exposure_August,MATCH(August!B12,Hospital_Exposure_Name,0))</f>
        <v>15.07</v>
      </c>
      <c r="D12" s="17">
        <f>INDEX(Hospital_Exposure_Rate,MATCH(August!B12,Hospital_Exposure_Name,0))</f>
        <v>63.322814428497473</v>
      </c>
      <c r="E12" s="28" t="s">
        <v>21</v>
      </c>
      <c r="F12" s="50">
        <f t="shared" si="0"/>
        <v>954.27481343745694</v>
      </c>
    </row>
    <row r="13" spans="1:7" ht="12.95" customHeight="1" x14ac:dyDescent="0.2">
      <c r="A13" s="29">
        <f t="shared" si="1"/>
        <v>4</v>
      </c>
      <c r="B13" s="118" t="s">
        <v>5</v>
      </c>
      <c r="C13" s="5">
        <f>INDEX(Hospital_Exposure_August,MATCH(August!B13,Hospital_Exposure_Name,0))</f>
        <v>0</v>
      </c>
      <c r="D13" s="17">
        <f>INDEX(Hospital_Exposure_Rate,MATCH(August!B13,Hospital_Exposure_Name,0))</f>
        <v>369.38308416623522</v>
      </c>
      <c r="E13" s="28" t="s">
        <v>21</v>
      </c>
      <c r="F13" s="50">
        <f t="shared" si="0"/>
        <v>0</v>
      </c>
    </row>
    <row r="14" spans="1:7" ht="12.95" customHeight="1" x14ac:dyDescent="0.2">
      <c r="A14" s="29">
        <f t="shared" si="1"/>
        <v>5</v>
      </c>
      <c r="B14" s="118" t="s">
        <v>6</v>
      </c>
      <c r="C14" s="5">
        <f>INDEX(Hospital_Exposure_August,MATCH(August!B14,Hospital_Exposure_Name,0))</f>
        <v>0</v>
      </c>
      <c r="D14" s="17">
        <f>INDEX(Hospital_Exposure_Rate,MATCH(August!B14,Hospital_Exposure_Name,0))</f>
        <v>237.988244227103</v>
      </c>
      <c r="E14" s="28" t="s">
        <v>21</v>
      </c>
      <c r="F14" s="50">
        <f t="shared" si="0"/>
        <v>0</v>
      </c>
    </row>
    <row r="15" spans="1:7" ht="12.95" customHeight="1" x14ac:dyDescent="0.2">
      <c r="A15" s="29">
        <f t="shared" si="1"/>
        <v>6</v>
      </c>
      <c r="B15" s="118" t="s">
        <v>7</v>
      </c>
      <c r="C15" s="5">
        <f>INDEX(Hospital_Exposure_August,MATCH(August!B15,Hospital_Exposure_Name,0))</f>
        <v>0</v>
      </c>
      <c r="D15" s="17">
        <f>INDEX(Hospital_Exposure_Rate,MATCH(August!B15,Hospital_Exposure_Name,0))</f>
        <v>184.69154208311761</v>
      </c>
      <c r="E15" s="28" t="s">
        <v>21</v>
      </c>
      <c r="F15" s="50">
        <f t="shared" si="0"/>
        <v>0</v>
      </c>
    </row>
    <row r="16" spans="1:7" ht="12.95" customHeight="1" x14ac:dyDescent="0.2">
      <c r="A16" s="29">
        <f t="shared" si="1"/>
        <v>7</v>
      </c>
      <c r="B16" s="122" t="s">
        <v>114</v>
      </c>
      <c r="C16" s="5">
        <f>INDEX(Hospital_Exposure_August,MATCH(August!B16,Hospital_Exposure_Name,0))</f>
        <v>89</v>
      </c>
      <c r="D16" s="17">
        <f>INDEX(Hospital_Exposure_Rate,MATCH(August!B16,Hospital_Exposure_Name,0))</f>
        <v>89.707320440371419</v>
      </c>
      <c r="E16" s="28" t="s">
        <v>22</v>
      </c>
      <c r="F16" s="50">
        <f>C16*D16/100</f>
        <v>79.839515191930559</v>
      </c>
    </row>
    <row r="17" spans="1:6" ht="12.95" customHeight="1" x14ac:dyDescent="0.2">
      <c r="A17" s="29">
        <f t="shared" si="1"/>
        <v>8</v>
      </c>
      <c r="B17" s="122" t="s">
        <v>115</v>
      </c>
      <c r="C17" s="5">
        <f>INDEX(Hospital_Exposure_August,MATCH(August!B17,Hospital_Exposure_Name,0))</f>
        <v>1357</v>
      </c>
      <c r="D17" s="17">
        <f>INDEX(Hospital_Exposure_Rate,MATCH(August!B17,Hospital_Exposure_Name,0))</f>
        <v>21.107604809499158</v>
      </c>
      <c r="E17" s="28" t="s">
        <v>22</v>
      </c>
      <c r="F17" s="50">
        <f>C17*D17/100</f>
        <v>286.4301972649036</v>
      </c>
    </row>
    <row r="18" spans="1:6" ht="12.95" customHeight="1" x14ac:dyDescent="0.2">
      <c r="A18" s="29">
        <f t="shared" si="1"/>
        <v>9</v>
      </c>
      <c r="B18" s="122" t="s">
        <v>116</v>
      </c>
      <c r="C18" s="5">
        <f>INDEX(Hospital_Exposure_August,MATCH(August!B18,Hospital_Exposure_Name,0))</f>
        <v>0</v>
      </c>
      <c r="D18" s="17">
        <f>INDEX(Hospital_Exposure_Rate,MATCH(August!B18,Hospital_Exposure_Name,0))</f>
        <v>1.1609182645224538</v>
      </c>
      <c r="E18" s="28" t="s">
        <v>22</v>
      </c>
      <c r="F18" s="50">
        <f>C18*D18/100</f>
        <v>0</v>
      </c>
    </row>
    <row r="19" spans="1:6" ht="12.95" customHeight="1" x14ac:dyDescent="0.2">
      <c r="A19" s="29">
        <f t="shared" si="1"/>
        <v>10</v>
      </c>
      <c r="B19" s="118" t="s">
        <v>8</v>
      </c>
      <c r="C19" s="5">
        <f>INDEX(Hospital_Exposure_August,MATCH(August!B19,Hospital_Exposure_Name,0))</f>
        <v>0</v>
      </c>
      <c r="D19" s="17">
        <f>INDEX(Hospital_Exposure_Rate,MATCH(August!B19,Hospital_Exposure_Name,0))</f>
        <v>26.384506011873949</v>
      </c>
      <c r="E19" s="28" t="s">
        <v>23</v>
      </c>
      <c r="F19" s="50">
        <f>C19*D19</f>
        <v>0</v>
      </c>
    </row>
    <row r="20" spans="1:6" ht="12.95" customHeight="1" x14ac:dyDescent="0.2">
      <c r="A20" s="29">
        <f t="shared" si="1"/>
        <v>11</v>
      </c>
      <c r="B20" s="118" t="s">
        <v>9</v>
      </c>
      <c r="C20" s="5">
        <f>INDEX(Hospital_Exposure_August,MATCH(August!B20,Hospital_Exposure_Name,0))</f>
        <v>0</v>
      </c>
      <c r="D20" s="17">
        <f>INDEX(Hospital_Exposure_Rate,MATCH(August!B20,Hospital_Exposure_Name,0))</f>
        <v>10.553802404749579</v>
      </c>
      <c r="E20" s="28" t="s">
        <v>23</v>
      </c>
      <c r="F20" s="50">
        <f>C20*D20</f>
        <v>0</v>
      </c>
    </row>
    <row r="21" spans="1:6" ht="12.95" customHeight="1" x14ac:dyDescent="0.2">
      <c r="A21" s="29">
        <f t="shared" si="1"/>
        <v>12</v>
      </c>
      <c r="B21" s="118" t="s">
        <v>10</v>
      </c>
      <c r="C21" s="5">
        <f>INDEX(Hospital_Exposure_August,MATCH(August!B21,Hospital_Exposure_Name,0))</f>
        <v>0</v>
      </c>
      <c r="D21" s="17">
        <f>INDEX(Hospital_Exposure_Rate,MATCH(August!B21,Hospital_Exposure_Name,0))</f>
        <v>79.153518035621843</v>
      </c>
      <c r="E21" s="28" t="s">
        <v>23</v>
      </c>
      <c r="F21" s="50">
        <f t="shared" ref="F21:F23" si="2">C21*D21</f>
        <v>0</v>
      </c>
    </row>
    <row r="22" spans="1:6" ht="12.95" customHeight="1" x14ac:dyDescent="0.2">
      <c r="A22" s="29">
        <f t="shared" si="1"/>
        <v>13</v>
      </c>
      <c r="B22" s="118" t="s">
        <v>11</v>
      </c>
      <c r="C22" s="5">
        <f>INDEX(Hospital_Exposure_August,MATCH(August!B22,Hospital_Exposure_Name,0))</f>
        <v>0</v>
      </c>
      <c r="D22" s="17">
        <f>INDEX(Hospital_Exposure_Rate,MATCH(August!B22,Hospital_Exposure_Name,0))</f>
        <v>79.153518035621843</v>
      </c>
      <c r="E22" s="28" t="s">
        <v>23</v>
      </c>
      <c r="F22" s="50">
        <f t="shared" si="2"/>
        <v>0</v>
      </c>
    </row>
    <row r="23" spans="1:6" ht="12.95" customHeight="1" x14ac:dyDescent="0.2">
      <c r="A23" s="29">
        <f t="shared" si="1"/>
        <v>14</v>
      </c>
      <c r="B23" s="122" t="s">
        <v>117</v>
      </c>
      <c r="C23" s="5">
        <f>INDEX(Hospital_Exposure_August,MATCH(August!B23,Hospital_Exposure_Name,0))</f>
        <v>0</v>
      </c>
      <c r="D23" s="17">
        <f>INDEX(Hospital_Exposure_Rate,MATCH(August!B23,Hospital_Exposure_Name,0))</f>
        <v>341.38512486587695</v>
      </c>
      <c r="E23" s="28" t="s">
        <v>23</v>
      </c>
      <c r="F23" s="50">
        <f t="shared" si="2"/>
        <v>0</v>
      </c>
    </row>
    <row r="24" spans="1:6" ht="12.95" customHeight="1" x14ac:dyDescent="0.2">
      <c r="A24" s="29">
        <f t="shared" si="1"/>
        <v>15</v>
      </c>
      <c r="B24" s="74" t="s">
        <v>136</v>
      </c>
      <c r="C24" s="5">
        <f>INDEX($C$47:$C$113,MATCH(B24,$B$47:$B$113,0))</f>
        <v>89</v>
      </c>
      <c r="D24" s="5">
        <f>INDEX($E$47:$E$113,MATCH(B24,$B$47:$B$113,0))</f>
        <v>1727.2161200254454</v>
      </c>
      <c r="E24" s="28" t="s">
        <v>22</v>
      </c>
      <c r="F24" s="50">
        <f>SUMIF(B46:B112,B24,F46:F112)+SUMIF(B46:B112,B54,K46:K112)</f>
        <v>1537.2223468226466</v>
      </c>
    </row>
    <row r="25" spans="1:6" ht="12.95" customHeight="1" x14ac:dyDescent="0.2">
      <c r="A25" s="29">
        <f t="shared" si="1"/>
        <v>16</v>
      </c>
      <c r="B25" s="4" t="s">
        <v>12</v>
      </c>
      <c r="C25" s="5">
        <f>SUMIF($A$47:$A$113, 1,$D$47:$D$113)</f>
        <v>0</v>
      </c>
      <c r="D25" s="5">
        <f>IFERROR(F25/C25,0)</f>
        <v>0</v>
      </c>
      <c r="E25" s="28" t="s">
        <v>23</v>
      </c>
      <c r="F25" s="51">
        <f>SUMIF($A$46:$A$112, 1,$F$46:$F$112) + SUMIF($A$46:$A$112, 1,$K$46:$K$112)</f>
        <v>0</v>
      </c>
    </row>
    <row r="26" spans="1:6" ht="12.95" customHeight="1" x14ac:dyDescent="0.2">
      <c r="A26" s="29">
        <f t="shared" si="1"/>
        <v>17</v>
      </c>
      <c r="B26" s="4" t="s">
        <v>13</v>
      </c>
      <c r="C26" s="5">
        <f>SUMIF($A$47:$A$113, 2,$D$47:$D$113)</f>
        <v>0</v>
      </c>
      <c r="D26" s="5">
        <f t="shared" ref="D26:D35" si="3">IFERROR(F26/C26,0)</f>
        <v>0</v>
      </c>
      <c r="E26" s="28" t="s">
        <v>23</v>
      </c>
      <c r="F26" s="51">
        <f>SUMIF($A$46:$A$112, 2,$F$46:$F$112) + SUMIF($A$46:$A$112, 2,$K$46:$K$112)</f>
        <v>0</v>
      </c>
    </row>
    <row r="27" spans="1:6" ht="12.95" customHeight="1" x14ac:dyDescent="0.2">
      <c r="A27" s="29">
        <f t="shared" si="1"/>
        <v>18</v>
      </c>
      <c r="B27" s="4" t="s">
        <v>14</v>
      </c>
      <c r="C27" s="5">
        <f>SUMIF($A$47:$A$113, 3,$D$47:$D$113)</f>
        <v>0.28846708590549813</v>
      </c>
      <c r="D27" s="5">
        <f t="shared" si="3"/>
        <v>1951.6566327971129</v>
      </c>
      <c r="E27" s="28" t="s">
        <v>23</v>
      </c>
      <c r="F27" s="51">
        <f>SUMIF($A$46:$A$112, 3,$F$46:$F$112) + SUMIF($A$46:$A$112, 3,$K$46:$K$112)</f>
        <v>562.98870155112002</v>
      </c>
    </row>
    <row r="28" spans="1:6" x14ac:dyDescent="0.2">
      <c r="A28" s="29">
        <f t="shared" si="1"/>
        <v>19</v>
      </c>
      <c r="B28" s="4" t="s">
        <v>15</v>
      </c>
      <c r="C28" s="5">
        <f>SUMIF($A$47:$A$113, 4,$D$47:$D$113)</f>
        <v>0</v>
      </c>
      <c r="D28" s="5">
        <f t="shared" si="3"/>
        <v>0</v>
      </c>
      <c r="E28" s="28" t="s">
        <v>23</v>
      </c>
      <c r="F28" s="51">
        <f>SUMIF($A$46:$A$112, 4,$F$46:$F$112) + SUMIF($A$46:$A$112, 4,$K$46:$K$112)</f>
        <v>0</v>
      </c>
    </row>
    <row r="29" spans="1:6" x14ac:dyDescent="0.2">
      <c r="A29" s="29">
        <f t="shared" si="1"/>
        <v>20</v>
      </c>
      <c r="B29" s="4" t="s">
        <v>16</v>
      </c>
      <c r="C29" s="5">
        <f>SUMIF($A$47:$A$113, 5,$D$47:$D$113)</f>
        <v>0</v>
      </c>
      <c r="D29" s="5">
        <f t="shared" si="3"/>
        <v>0</v>
      </c>
      <c r="E29" s="28" t="s">
        <v>23</v>
      </c>
      <c r="F29" s="51">
        <f>SUMIF($A$46:$A$112, 5,$F$46:$F$112) + SUMIF($A$46:$A$112, 5,$K$46:$K$112)</f>
        <v>0</v>
      </c>
    </row>
    <row r="30" spans="1:6" x14ac:dyDescent="0.2">
      <c r="A30" s="29">
        <f t="shared" si="1"/>
        <v>21</v>
      </c>
      <c r="B30" s="4" t="s">
        <v>17</v>
      </c>
      <c r="C30" s="5">
        <f>SUMIF($A$47:$A$113, 6,$D$47:$D$113)</f>
        <v>0</v>
      </c>
      <c r="D30" s="5">
        <f t="shared" si="3"/>
        <v>0</v>
      </c>
      <c r="E30" s="28" t="s">
        <v>23</v>
      </c>
      <c r="F30" s="51">
        <f>SUMIF($A$46:$A$112, 6,$F$46:$F$112) + SUMIF($A$46:$A$112, 6,$K$46:$K$112)</f>
        <v>0</v>
      </c>
    </row>
    <row r="31" spans="1:6" x14ac:dyDescent="0.2">
      <c r="A31" s="29">
        <f t="shared" si="1"/>
        <v>22</v>
      </c>
      <c r="B31" s="4" t="s">
        <v>18</v>
      </c>
      <c r="C31" s="5">
        <f>SUMIF($A$47:$A$113, 7,$D$47:$D$113)</f>
        <v>0</v>
      </c>
      <c r="D31" s="5">
        <f t="shared" si="3"/>
        <v>0</v>
      </c>
      <c r="E31" s="28" t="s">
        <v>23</v>
      </c>
      <c r="F31" s="51">
        <f>SUMIF($A$46:$A$112, 7,$F$46:$F$112) + SUMIF($A$46:$A$112, 7,$K$46:$K$112)</f>
        <v>0</v>
      </c>
    </row>
    <row r="32" spans="1:6" x14ac:dyDescent="0.2">
      <c r="A32" s="29">
        <f t="shared" si="1"/>
        <v>23</v>
      </c>
      <c r="B32" s="4" t="s">
        <v>19</v>
      </c>
      <c r="C32" s="5">
        <f>SUMIF($A$47:$A$113, 8,$D$47:$D$113)</f>
        <v>0</v>
      </c>
      <c r="D32" s="5">
        <f t="shared" si="3"/>
        <v>0</v>
      </c>
      <c r="E32" s="28" t="s">
        <v>23</v>
      </c>
      <c r="F32" s="51">
        <f>SUMIF($A$46:$A$112, 8,$F$46:$F$112) + SUMIF($A$46:$A$112, 8,$K$46:$K$112)</f>
        <v>0</v>
      </c>
    </row>
    <row r="33" spans="1:11" x14ac:dyDescent="0.2">
      <c r="A33" s="29">
        <f t="shared" si="1"/>
        <v>24</v>
      </c>
      <c r="B33" t="s">
        <v>79</v>
      </c>
      <c r="C33" s="5">
        <f>SUMIF($B$47:$B$113, B33,$D$47:$D$113)</f>
        <v>0</v>
      </c>
      <c r="D33" s="5">
        <f t="shared" si="3"/>
        <v>0</v>
      </c>
      <c r="E33" s="28" t="s">
        <v>23</v>
      </c>
      <c r="F33" s="51">
        <f>SUMIF($B$46:$B$112, B33,$F$46:$F$112) + SUMIF($B$46:$B$112, B33,$K$46:$K$112)</f>
        <v>0</v>
      </c>
    </row>
    <row r="34" spans="1:11" x14ac:dyDescent="0.2">
      <c r="A34" s="29">
        <f t="shared" si="1"/>
        <v>25</v>
      </c>
      <c r="B34" t="s">
        <v>20</v>
      </c>
      <c r="C34" s="5">
        <f>SUMIF($B$47:$B$113, B34,$D$47:$D$113)</f>
        <v>1.0654051039443064</v>
      </c>
      <c r="D34" s="5">
        <f t="shared" si="3"/>
        <v>493.76912809766964</v>
      </c>
      <c r="E34" s="28" t="s">
        <v>23</v>
      </c>
      <c r="F34" s="51">
        <f t="shared" ref="F34:F35" si="4">SUMIF($B$46:$B$112, B34,$F$46:$F$112) + SUMIF($B$46:$B$112, B34,$K$46:$K$112)</f>
        <v>526.06414924538728</v>
      </c>
    </row>
    <row r="35" spans="1:11" x14ac:dyDescent="0.2">
      <c r="A35" s="29">
        <f t="shared" si="1"/>
        <v>26</v>
      </c>
      <c r="B35" t="s">
        <v>80</v>
      </c>
      <c r="C35" s="5">
        <f>SUMIF($B$47:$B$113, B35,$D$47:$D$113)</f>
        <v>0</v>
      </c>
      <c r="D35" s="5">
        <f t="shared" si="3"/>
        <v>0</v>
      </c>
      <c r="E35" s="28" t="s">
        <v>23</v>
      </c>
      <c r="F35" s="51">
        <f t="shared" si="4"/>
        <v>0</v>
      </c>
    </row>
    <row r="36" spans="1:11" x14ac:dyDescent="0.2">
      <c r="F36" s="50"/>
    </row>
    <row r="37" spans="1:11" x14ac:dyDescent="0.2">
      <c r="F37" s="50"/>
    </row>
    <row r="38" spans="1:11" x14ac:dyDescent="0.2">
      <c r="B38" s="4"/>
      <c r="C38" s="5"/>
      <c r="D38" s="17"/>
      <c r="E38" s="7"/>
      <c r="F38" s="52"/>
    </row>
    <row r="39" spans="1:11" x14ac:dyDescent="0.2">
      <c r="A39" s="31"/>
      <c r="B39" s="53" t="s">
        <v>84</v>
      </c>
      <c r="C39" s="46"/>
      <c r="D39" s="54"/>
      <c r="E39" s="55"/>
      <c r="F39" s="169">
        <f>SUM(F10:F35)</f>
        <v>4036.5270439538162</v>
      </c>
    </row>
    <row r="40" spans="1:11" x14ac:dyDescent="0.2">
      <c r="A40" s="31"/>
      <c r="B40" s="53"/>
      <c r="C40" s="46"/>
      <c r="D40" s="54"/>
      <c r="E40" s="55"/>
      <c r="F40" s="56"/>
    </row>
    <row r="41" spans="1:11" x14ac:dyDescent="0.2">
      <c r="A41" s="31"/>
      <c r="B41" s="34"/>
      <c r="C41" s="31"/>
      <c r="D41" s="35"/>
      <c r="E41" s="36"/>
      <c r="F41" s="16"/>
    </row>
    <row r="42" spans="1:11" x14ac:dyDescent="0.2">
      <c r="F42" s="10"/>
      <c r="H42" s="45" t="s">
        <v>148</v>
      </c>
      <c r="I42" s="45"/>
      <c r="J42" s="45"/>
      <c r="K42" s="45"/>
    </row>
    <row r="43" spans="1:11" ht="25.5" x14ac:dyDescent="0.2">
      <c r="A43" s="23" t="s">
        <v>85</v>
      </c>
      <c r="B43" s="41" t="s">
        <v>86</v>
      </c>
      <c r="C43" s="46" t="s">
        <v>81</v>
      </c>
      <c r="D43" s="47" t="s">
        <v>82</v>
      </c>
      <c r="E43" s="24" t="s">
        <v>27</v>
      </c>
      <c r="F43" s="23" t="s">
        <v>26</v>
      </c>
      <c r="H43" s="44" t="s">
        <v>143</v>
      </c>
      <c r="I43" s="47" t="s">
        <v>82</v>
      </c>
      <c r="J43" s="24" t="s">
        <v>27</v>
      </c>
      <c r="K43" s="23" t="s">
        <v>149</v>
      </c>
    </row>
    <row r="44" spans="1:11" x14ac:dyDescent="0.2">
      <c r="E44" s="8"/>
    </row>
    <row r="45" spans="1:11" x14ac:dyDescent="0.2">
      <c r="E45" s="8"/>
    </row>
    <row r="46" spans="1:11" x14ac:dyDescent="0.2">
      <c r="A46" s="158">
        <v>1</v>
      </c>
      <c r="B46" s="107" t="s">
        <v>28</v>
      </c>
      <c r="C46" s="5">
        <f t="array" ref="C46">SUMIFS(Physician_Visit_August,Physician_Visit_Practice,August!B46,Physician_Visit_Hospitalists, "&lt;&gt;"&amp;'Physician Types'!$D$81)+SUMIFS(Physician_Visit_August,Physician_Visit_Practice,August!B46,Physician_Visit_Hospitalists,'Physician Types'!$D$81)*INDEX(Physician_Type_Hospitalists_Visit_Minutes,MATCH(August!B46,Physician_Type_Practice,0))/INDEX(Physician_Type_Visit_Minutes,MATCH(August!B46,Physician_Type_Practice,0)) +SUMIF(Physician_Minutes_Practice,August!B46,Physician_Minutes_August)/INDEX(Physician_Type_Visit_Minutes,MATCH(August!B46,Physician_Type_Practice,0))</f>
        <v>0</v>
      </c>
      <c r="D46" s="43">
        <f t="shared" ref="D46:D77" si="5">C46*INDEX(Physician_Type_Visit_Minutes,MATCH(B46,Physician_Type_Practice,0))/INDEX(Physician_Type_FTE_Minutes,MATCH(B46,Physician_Type_Practice,0))</f>
        <v>0</v>
      </c>
      <c r="E46" s="17">
        <f>INDEX(Physician_Type_Bed_Rate,MATCH(August!B46,Physician_Type_Practice,0))*'Hospital Input Page'!$C$4</f>
        <v>925.08524394583173</v>
      </c>
      <c r="F46" s="9">
        <f>D46*E46</f>
        <v>0</v>
      </c>
      <c r="H46" s="5">
        <f t="array" ref="H46">SUMIFS(Physician_Visit_August, Physician_Visit_Practice, August!B46, Independent_Contractor_Visits,  'Physician Types'!$D$81) + SUMIFS(Physician_Minutes_August,Physician_Minutes_Practice,August!B46, Independent_Contractor_Minutes, 'Physician Types'!$D$81)/INDEX(Physician_Type_Visit_Minutes,MATCH(August!B46,Physician_Type_Practice,0))</f>
        <v>0</v>
      </c>
      <c r="I46" s="43">
        <f t="shared" ref="I46:I77" si="6">H46*INDEX(Physician_Type_Visit_Minutes,MATCH(B46,Physician_Type_Practice,0))/INDEX(Physician_Type_FTE_Minutes,MATCH(B46,Physician_Type_Practice,0))</f>
        <v>0</v>
      </c>
      <c r="J46" s="10">
        <f>E46*'Physician Types'!$E$4</f>
        <v>27.752557318374951</v>
      </c>
      <c r="K46" s="10">
        <f>I46*J46</f>
        <v>0</v>
      </c>
    </row>
    <row r="47" spans="1:11" x14ac:dyDescent="0.2">
      <c r="A47" s="158">
        <v>1</v>
      </c>
      <c r="B47" s="107" t="s">
        <v>29</v>
      </c>
      <c r="C47" s="5">
        <f t="array" ref="C47">SUMIFS(Physician_Visit_August,Physician_Visit_Practice,August!B47,Physician_Visit_Hospitalists, "&lt;&gt;"&amp;'Physician Types'!$D$81)+SUMIFS(Physician_Visit_August,Physician_Visit_Practice,August!B47,Physician_Visit_Hospitalists,'Physician Types'!$D$81)*INDEX(Physician_Type_Hospitalists_Visit_Minutes,MATCH(August!B47,Physician_Type_Practice,0))/INDEX(Physician_Type_Visit_Minutes,MATCH(August!B47,Physician_Type_Practice,0)) +SUMIF(Physician_Minutes_Practice,August!B47,Physician_Minutes_August)/INDEX(Physician_Type_Visit_Minutes,MATCH(August!B47,Physician_Type_Practice,0))</f>
        <v>0</v>
      </c>
      <c r="D47" s="43">
        <f t="shared" si="5"/>
        <v>0</v>
      </c>
      <c r="E47" s="17">
        <f>INDEX(Physician_Type_Bed_Rate,MATCH(August!B47,Physician_Type_Practice,0))*'Hospital Input Page'!$C$4</f>
        <v>993.39322609373073</v>
      </c>
      <c r="F47" s="9">
        <f t="shared" ref="F47:F111" si="7">D47*E47</f>
        <v>0</v>
      </c>
      <c r="H47" s="5">
        <f t="array" ref="H47">SUMIFS(Physician_Visit_August, Physician_Visit_Practice, August!B47, Independent_Contractor_Visits,  'Physician Types'!$D$81) + SUMIFS(Physician_Minutes_August,Physician_Minutes_Practice,August!B47, Independent_Contractor_Minutes, 'Physician Types'!$D$81)/INDEX(Physician_Type_Visit_Minutes,MATCH(August!B47,Physician_Type_Practice,0))</f>
        <v>0</v>
      </c>
      <c r="I47" s="43">
        <f t="shared" si="6"/>
        <v>0</v>
      </c>
      <c r="J47" s="10">
        <f>E47*'Physician Types'!$E$4</f>
        <v>29.80179678281192</v>
      </c>
      <c r="K47" s="10">
        <f t="shared" ref="K47:K111" si="8">I47*J47</f>
        <v>0</v>
      </c>
    </row>
    <row r="48" spans="1:11" x14ac:dyDescent="0.2">
      <c r="A48" s="158">
        <v>4</v>
      </c>
      <c r="B48" s="102" t="s">
        <v>60</v>
      </c>
      <c r="C48" s="5">
        <f t="array" ref="C48">SUMIFS(Physician_Visit_August,Physician_Visit_Practice,August!B48,Physician_Visit_Hospitalists, "&lt;&gt;"&amp;'Physician Types'!$D$81)+SUMIFS(Physician_Visit_August,Physician_Visit_Practice,August!B48,Physician_Visit_Hospitalists,'Physician Types'!$D$81)*INDEX(Physician_Type_Hospitalists_Visit_Minutes,MATCH(August!B48,Physician_Type_Practice,0))/INDEX(Physician_Type_Visit_Minutes,MATCH(August!B48,Physician_Type_Practice,0)) +SUMIF(Physician_Minutes_Practice,August!B48,Physician_Minutes_August)/INDEX(Physician_Type_Visit_Minutes,MATCH(August!B48,Physician_Type_Practice,0))</f>
        <v>0</v>
      </c>
      <c r="D48" s="43">
        <f t="shared" si="5"/>
        <v>0</v>
      </c>
      <c r="E48" s="17">
        <f>INDEX(Physician_Type_Bed_Rate,MATCH(August!B48,Physician_Type_Practice,0))*'Hospital Input Page'!$C$4</f>
        <v>2699.1411231584075</v>
      </c>
      <c r="F48" s="9">
        <f t="shared" si="7"/>
        <v>0</v>
      </c>
      <c r="H48" s="5">
        <f>SUMIFS(Physician_Visit_August,Physician_Visit_Practice,August!B48,Independent_Contractor_Visits, "&lt;&gt;"&amp;'Physician Types'!$D$81)+SUMIFS(Physician_Visit_August,Physician_Visit_Practice,August!B48,Independent_Contractor_Visits,'Physician Types'!$D$81)*INDEX(Physician_Type_Hospitalists_Visit_Minutes,MATCH(August!B48,Physician_Type_Practice,0))/INDEX(Physician_Type_Visit_Minutes,MATCH(August!B48,Physician_Type_Practice,0)) +SUMIF(Physician_Minutes_Practice,August!B48,Physician_Minutes_August)/INDEX(Physician_Type_Visit_Minutes,MATCH(August!B48,Physician_Type_Practice,0))</f>
        <v>0</v>
      </c>
      <c r="I48" s="43">
        <f t="shared" si="6"/>
        <v>0</v>
      </c>
      <c r="J48" s="10">
        <f>E48*'Physician Types'!$E$4</f>
        <v>80.974233694752215</v>
      </c>
      <c r="K48" s="10">
        <f t="shared" si="8"/>
        <v>0</v>
      </c>
    </row>
    <row r="49" spans="1:11" x14ac:dyDescent="0.2">
      <c r="A49" s="158">
        <v>4</v>
      </c>
      <c r="B49" s="102" t="s">
        <v>61</v>
      </c>
      <c r="C49" s="5">
        <f t="array" ref="C49">SUMIFS(Physician_Visit_August,Physician_Visit_Practice,August!B49,Physician_Visit_Hospitalists, "&lt;&gt;"&amp;'Physician Types'!$D$81)+SUMIFS(Physician_Visit_August,Physician_Visit_Practice,August!B49,Physician_Visit_Hospitalists,'Physician Types'!$D$81)*INDEX(Physician_Type_Hospitalists_Visit_Minutes,MATCH(August!B49,Physician_Type_Practice,0))/INDEX(Physician_Type_Visit_Minutes,MATCH(August!B49,Physician_Type_Practice,0)) +SUMIF(Physician_Minutes_Practice,August!B49,Physician_Minutes_August)/INDEX(Physician_Type_Visit_Minutes,MATCH(August!B49,Physician_Type_Practice,0))</f>
        <v>0</v>
      </c>
      <c r="D49" s="43">
        <f t="shared" si="5"/>
        <v>0</v>
      </c>
      <c r="E49" s="17">
        <f>INDEX(Physician_Type_Bed_Rate,MATCH(August!B49,Physician_Type_Practice,0))*'Hospital Input Page'!$C$4</f>
        <v>3071.9075400226566</v>
      </c>
      <c r="F49" s="9">
        <f t="shared" si="7"/>
        <v>0</v>
      </c>
      <c r="H49" s="5">
        <f>SUMIFS(Physician_Visit_August,Physician_Visit_Practice,August!B49,Independent_Contractor_Visits, "&lt;&gt;"&amp;'Physician Types'!$D$81)+SUMIFS(Physician_Visit_August,Physician_Visit_Practice,August!B49,Independent_Contractor_Visits,'Physician Types'!$D$81)*INDEX(Physician_Type_Hospitalists_Visit_Minutes,MATCH(August!B49,Physician_Type_Practice,0))/INDEX(Physician_Type_Visit_Minutes,MATCH(August!B49,Physician_Type_Practice,0)) +SUMIF(Physician_Minutes_Practice,August!B49,Physician_Minutes_August)/INDEX(Physician_Type_Visit_Minutes,MATCH(August!B49,Physician_Type_Practice,0))</f>
        <v>0</v>
      </c>
      <c r="I49" s="43">
        <f t="shared" si="6"/>
        <v>0</v>
      </c>
      <c r="J49" s="10">
        <f>E49*'Physician Types'!$E$4</f>
        <v>92.157226200679688</v>
      </c>
      <c r="K49" s="10">
        <f t="shared" si="8"/>
        <v>0</v>
      </c>
    </row>
    <row r="50" spans="1:11" x14ac:dyDescent="0.2">
      <c r="A50" s="158">
        <v>2</v>
      </c>
      <c r="B50" s="107" t="s">
        <v>34</v>
      </c>
      <c r="C50" s="5">
        <f t="array" ref="C50">SUMIFS(Physician_Visit_August,Physician_Visit_Practice,August!B50,Physician_Visit_Hospitalists, "&lt;&gt;"&amp;'Physician Types'!$D$81)+SUMIFS(Physician_Visit_August,Physician_Visit_Practice,August!B50,Physician_Visit_Hospitalists,'Physician Types'!$D$81)*INDEX(Physician_Type_Hospitalists_Visit_Minutes,MATCH(August!B50,Physician_Type_Practice,0))/INDEX(Physician_Type_Visit_Minutes,MATCH(August!B50,Physician_Type_Practice,0)) +SUMIF(Physician_Minutes_Practice,August!B50,Physician_Minutes_August)/INDEX(Physician_Type_Visit_Minutes,MATCH(August!B50,Physician_Type_Practice,0))</f>
        <v>0</v>
      </c>
      <c r="D50" s="43">
        <f t="shared" si="5"/>
        <v>0</v>
      </c>
      <c r="E50" s="17">
        <f>INDEX(Physician_Type_Bed_Rate,MATCH(August!B50,Physician_Type_Practice,0))*'Hospital Input Page'!$C$4</f>
        <v>1619.8750052216039</v>
      </c>
      <c r="F50" s="9">
        <f t="shared" si="7"/>
        <v>0</v>
      </c>
      <c r="H50" s="5">
        <f>SUMIFS(Physician_Visit_August,Physician_Visit_Practice,August!B50,Independent_Contractor_Visits, "&lt;&gt;"&amp;'Physician Types'!$D$81)+SUMIFS(Physician_Visit_August,Physician_Visit_Practice,August!B50,Independent_Contractor_Visits,'Physician Types'!$D$81)*INDEX(Physician_Type_Hospitalists_Visit_Minutes,MATCH(August!B50,Physician_Type_Practice,0))/INDEX(Physician_Type_Visit_Minutes,MATCH(August!B50,Physician_Type_Practice,0)) +SUMIF(Physician_Minutes_Practice,August!B50,Physician_Minutes_August)/INDEX(Physician_Type_Visit_Minutes,MATCH(August!B50,Physician_Type_Practice,0))</f>
        <v>0</v>
      </c>
      <c r="I50" s="43">
        <f t="shared" si="6"/>
        <v>0</v>
      </c>
      <c r="J50" s="10">
        <f>E50*'Physician Types'!$E$4</f>
        <v>48.596250156648118</v>
      </c>
      <c r="K50" s="10">
        <f t="shared" si="8"/>
        <v>0</v>
      </c>
    </row>
    <row r="51" spans="1:11" x14ac:dyDescent="0.2">
      <c r="A51" s="158">
        <v>7</v>
      </c>
      <c r="B51" s="102" t="s">
        <v>72</v>
      </c>
      <c r="C51" s="5">
        <f t="array" ref="C51">SUMIFS(Physician_Visit_August,Physician_Visit_Practice,August!B51,Physician_Visit_Hospitalists, "&lt;&gt;"&amp;'Physician Types'!$D$81)+SUMIFS(Physician_Visit_August,Physician_Visit_Practice,August!B51,Physician_Visit_Hospitalists,'Physician Types'!$D$81)*INDEX(Physician_Type_Hospitalists_Visit_Minutes,MATCH(August!B51,Physician_Type_Practice,0))/INDEX(Physician_Type_Visit_Minutes,MATCH(August!B51,Physician_Type_Practice,0)) +SUMIF(Physician_Minutes_Practice,August!B51,Physician_Minutes_August)/INDEX(Physician_Type_Visit_Minutes,MATCH(August!B51,Physician_Type_Practice,0))</f>
        <v>0</v>
      </c>
      <c r="D51" s="43">
        <f t="shared" si="5"/>
        <v>0</v>
      </c>
      <c r="E51" s="17">
        <f>INDEX(Physician_Type_Bed_Rate,MATCH(August!B51,Physician_Type_Practice,0))*'Hospital Input Page'!$C$4</f>
        <v>7974.4690016090053</v>
      </c>
      <c r="F51" s="9">
        <f t="shared" si="7"/>
        <v>0</v>
      </c>
      <c r="H51" s="5">
        <f>SUMIFS(Physician_Visit_August,Physician_Visit_Practice,August!B51,Independent_Contractor_Visits, "&lt;&gt;"&amp;'Physician Types'!$D$81)+SUMIFS(Physician_Visit_August,Physician_Visit_Practice,August!B51,Independent_Contractor_Visits,'Physician Types'!$D$81)*INDEX(Physician_Type_Hospitalists_Visit_Minutes,MATCH(August!B51,Physician_Type_Practice,0))/INDEX(Physician_Type_Visit_Minutes,MATCH(August!B51,Physician_Type_Practice,0)) +SUMIF(Physician_Minutes_Practice,August!B51,Physician_Minutes_August)/INDEX(Physician_Type_Visit_Minutes,MATCH(August!B51,Physician_Type_Practice,0))</f>
        <v>0</v>
      </c>
      <c r="I51" s="43">
        <f t="shared" si="6"/>
        <v>0</v>
      </c>
      <c r="J51" s="10">
        <f>E51*'Physician Types'!$E$4</f>
        <v>239.23407004827015</v>
      </c>
      <c r="K51" s="10">
        <f t="shared" si="8"/>
        <v>0</v>
      </c>
    </row>
    <row r="52" spans="1:11" x14ac:dyDescent="0.2">
      <c r="A52" s="158">
        <v>6</v>
      </c>
      <c r="B52" s="102" t="s">
        <v>69</v>
      </c>
      <c r="C52" s="5">
        <f t="array" ref="C52">SUMIFS(Physician_Visit_August,Physician_Visit_Practice,August!B52,Physician_Visit_Hospitalists, "&lt;&gt;"&amp;'Physician Types'!$D$81)+SUMIFS(Physician_Visit_August,Physician_Visit_Practice,August!B52,Physician_Visit_Hospitalists,'Physician Types'!$D$81)*INDEX(Physician_Type_Hospitalists_Visit_Minutes,MATCH(August!B52,Physician_Type_Practice,0))/INDEX(Physician_Type_Visit_Minutes,MATCH(August!B52,Physician_Type_Practice,0)) +SUMIF(Physician_Minutes_Practice,August!B52,Physician_Minutes_August)/INDEX(Physician_Type_Visit_Minutes,MATCH(August!B52,Physician_Type_Practice,0))</f>
        <v>0</v>
      </c>
      <c r="D52" s="43">
        <f t="shared" si="5"/>
        <v>0</v>
      </c>
      <c r="E52" s="17">
        <f>INDEX(Physician_Type_Bed_Rate,MATCH(August!B52,Physician_Type_Practice,0))*'Hospital Input Page'!$C$4</f>
        <v>3534.4501619955722</v>
      </c>
      <c r="F52" s="9">
        <f t="shared" si="7"/>
        <v>0</v>
      </c>
      <c r="H52" s="5">
        <f>SUMIFS(Physician_Visit_August,Physician_Visit_Practice,August!B52,Independent_Contractor_Visits, "&lt;&gt;"&amp;'Physician Types'!$D$81)+SUMIFS(Physician_Visit_August,Physician_Visit_Practice,August!B52,Independent_Contractor_Visits,'Physician Types'!$D$81)*INDEX(Physician_Type_Hospitalists_Visit_Minutes,MATCH(August!B52,Physician_Type_Practice,0))/INDEX(Physician_Type_Visit_Minutes,MATCH(August!B52,Physician_Type_Practice,0)) +SUMIF(Physician_Minutes_Practice,August!B52,Physician_Minutes_August)/INDEX(Physician_Type_Visit_Minutes,MATCH(August!B52,Physician_Type_Practice,0))</f>
        <v>0</v>
      </c>
      <c r="I52" s="43">
        <f t="shared" si="6"/>
        <v>0</v>
      </c>
      <c r="J52" s="10">
        <f>E52*'Physician Types'!$E$4</f>
        <v>106.03350485986716</v>
      </c>
      <c r="K52" s="10">
        <f t="shared" si="8"/>
        <v>0</v>
      </c>
    </row>
    <row r="53" spans="1:11" x14ac:dyDescent="0.2">
      <c r="A53" s="158">
        <v>2</v>
      </c>
      <c r="B53" s="107" t="s">
        <v>35</v>
      </c>
      <c r="C53" s="5">
        <f t="array" ref="C53">SUMIFS(Physician_Visit_August,Physician_Visit_Practice,August!B53,Physician_Visit_Hospitalists, "&lt;&gt;"&amp;'Physician Types'!$D$81)+SUMIFS(Physician_Visit_August,Physician_Visit_Practice,August!B53,Physician_Visit_Hospitalists,'Physician Types'!$D$81)*INDEX(Physician_Type_Hospitalists_Visit_Minutes,MATCH(August!B53,Physician_Type_Practice,0))/INDEX(Physician_Type_Visit_Minutes,MATCH(August!B53,Physician_Type_Practice,0)) +SUMIF(Physician_Minutes_Practice,August!B53,Physician_Minutes_August)/INDEX(Physician_Type_Visit_Minutes,MATCH(August!B53,Physician_Type_Practice,0))</f>
        <v>0</v>
      </c>
      <c r="D53" s="43">
        <f t="shared" si="5"/>
        <v>0</v>
      </c>
      <c r="E53" s="17">
        <f>INDEX(Physician_Type_Bed_Rate,MATCH(August!B53,Physician_Type_Practice,0))*'Hospital Input Page'!$C$4</f>
        <v>993.39322609373073</v>
      </c>
      <c r="F53" s="9">
        <f t="shared" si="7"/>
        <v>0</v>
      </c>
      <c r="H53" s="5">
        <f>SUMIFS(Physician_Visit_August,Physician_Visit_Practice,August!B53,Independent_Contractor_Visits, "&lt;&gt;"&amp;'Physician Types'!$D$81)+SUMIFS(Physician_Visit_August,Physician_Visit_Practice,August!B53,Independent_Contractor_Visits,'Physician Types'!$D$81)*INDEX(Physician_Type_Hospitalists_Visit_Minutes,MATCH(August!B53,Physician_Type_Practice,0))/INDEX(Physician_Type_Visit_Minutes,MATCH(August!B53,Physician_Type_Practice,0)) +SUMIF(Physician_Minutes_Practice,August!B53,Physician_Minutes_August)/INDEX(Physician_Type_Visit_Minutes,MATCH(August!B53,Physician_Type_Practice,0))</f>
        <v>0</v>
      </c>
      <c r="I53" s="43">
        <f t="shared" si="6"/>
        <v>0</v>
      </c>
      <c r="J53" s="10">
        <f>E53*'Physician Types'!$E$4</f>
        <v>29.80179678281192</v>
      </c>
      <c r="K53" s="10">
        <f t="shared" si="8"/>
        <v>0</v>
      </c>
    </row>
    <row r="54" spans="1:11" x14ac:dyDescent="0.2">
      <c r="A54" s="158"/>
      <c r="B54" s="161" t="s">
        <v>136</v>
      </c>
      <c r="C54" s="5">
        <f t="array" ref="C54">SUMIFS(Physician_Visit_August,Physician_Visit_Practice,August!B54,Physician_Visit_Hospitalists, "&lt;&gt;"&amp;'Physician Types'!$D$81)+SUMIFS(Physician_Visit_August,Physician_Visit_Practice,August!B54,Physician_Visit_Hospitalists,'Physician Types'!$D$81)*INDEX(Physician_Type_Hospitalists_Visit_Minutes,MATCH(August!B54,Physician_Type_Practice,0))/INDEX(Physician_Type_Visit_Minutes,MATCH(August!B54,Physician_Type_Practice,0)) +SUMIF(Physician_Minutes_Practice,August!B54,Physician_Minutes_August)/INDEX(Physician_Type_Visit_Minutes,MATCH(August!B54,Physician_Type_Practice,0))</f>
        <v>89</v>
      </c>
      <c r="D54" s="43">
        <f t="shared" si="5"/>
        <v>0.12836785322794667</v>
      </c>
      <c r="E54" s="17">
        <f>INDEX(Physician_Type_Bed_Rate,MATCH(August!B54,Physician_Type_Practice,0))*'Hospital Input Page'!$C$4</f>
        <v>1727.2161200254454</v>
      </c>
      <c r="F54" s="9">
        <f>C54*E54/100</f>
        <v>1537.2223468226466</v>
      </c>
      <c r="H54" s="5">
        <f t="array" ref="H54">SUMIFS(Physician_Visit_August, Physician_Visit_Practice, August!B54, Independent_Contractor_Visits, 'Physician Types'!$D$81)</f>
        <v>0</v>
      </c>
      <c r="I54" s="43">
        <f t="shared" si="6"/>
        <v>0</v>
      </c>
      <c r="J54" s="10">
        <f>E54*'Physician Types'!$E$4</f>
        <v>51.816483600763362</v>
      </c>
      <c r="K54" s="10">
        <f t="shared" si="8"/>
        <v>0</v>
      </c>
    </row>
    <row r="55" spans="1:11" x14ac:dyDescent="0.2">
      <c r="A55" s="158">
        <v>2</v>
      </c>
      <c r="B55" s="107" t="s">
        <v>36</v>
      </c>
      <c r="C55" s="5">
        <f t="array" ref="C55">SUMIFS(Physician_Visit_August,Physician_Visit_Practice,August!B55,Physician_Visit_Hospitalists, "&lt;&gt;"&amp;'Physician Types'!$D$81)+SUMIFS(Physician_Visit_August,Physician_Visit_Practice,August!B55,Physician_Visit_Hospitalists,'Physician Types'!$D$81)*INDEX(Physician_Type_Hospitalists_Visit_Minutes,MATCH(August!B55,Physician_Type_Practice,0))/INDEX(Physician_Type_Visit_Minutes,MATCH(August!B55,Physician_Type_Practice,0)) +SUMIF(Physician_Minutes_Practice,August!B55,Physician_Minutes_August)/INDEX(Physician_Type_Visit_Minutes,MATCH(August!B55,Physician_Type_Practice,0))</f>
        <v>0</v>
      </c>
      <c r="D55" s="43">
        <f t="shared" si="5"/>
        <v>0</v>
      </c>
      <c r="E55" s="17">
        <f>INDEX(Physician_Type_Bed_Rate,MATCH(August!B55,Physician_Type_Practice,0))*'Hospital Input Page'!$C$4</f>
        <v>2544.9602491674359</v>
      </c>
      <c r="F55" s="9">
        <f t="shared" si="7"/>
        <v>0</v>
      </c>
      <c r="H55" s="5">
        <f>SUMIFS(Physician_Visit_August,Physician_Visit_Practice,August!B55,Independent_Contractor_Visits, "&lt;&gt;"&amp;'Physician Types'!$D$81)+SUMIFS(Physician_Visit_August,Physician_Visit_Practice,August!B55,Independent_Contractor_Visits,'Physician Types'!$D$81)*INDEX(Physician_Type_Hospitalists_Visit_Minutes,MATCH(August!B55,Physician_Type_Practice,0))/INDEX(Physician_Type_Visit_Minutes,MATCH(August!B55,Physician_Type_Practice,0)) +SUMIF(Physician_Minutes_Practice,August!B55,Physician_Minutes_August)/INDEX(Physician_Type_Visit_Minutes,MATCH(August!B55,Physician_Type_Practice,0))</f>
        <v>0</v>
      </c>
      <c r="I55" s="43">
        <f t="shared" si="6"/>
        <v>0</v>
      </c>
      <c r="J55" s="10">
        <f>E55*'Physician Types'!$E$4</f>
        <v>76.348807475023079</v>
      </c>
      <c r="K55" s="10">
        <f t="shared" si="8"/>
        <v>0</v>
      </c>
    </row>
    <row r="56" spans="1:11" x14ac:dyDescent="0.2">
      <c r="A56" s="158">
        <v>2</v>
      </c>
      <c r="B56" s="107" t="s">
        <v>37</v>
      </c>
      <c r="C56" s="5">
        <f t="array" ref="C56">SUMIFS(Physician_Visit_August,Physician_Visit_Practice,August!B56,Physician_Visit_Hospitalists, "&lt;&gt;"&amp;'Physician Types'!$D$81)+SUMIFS(Physician_Visit_August,Physician_Visit_Practice,August!B56,Physician_Visit_Hospitalists,'Physician Types'!$D$81)*INDEX(Physician_Type_Hospitalists_Visit_Minutes,MATCH(August!B56,Physician_Type_Practice,0))/INDEX(Physician_Type_Visit_Minutes,MATCH(August!B56,Physician_Type_Practice,0)) +SUMIF(Physician_Minutes_Practice,August!B56,Physician_Minutes_August)/INDEX(Physician_Type_Visit_Minutes,MATCH(August!B56,Physician_Type_Practice,0))</f>
        <v>0</v>
      </c>
      <c r="D56" s="43">
        <f t="shared" si="5"/>
        <v>0</v>
      </c>
      <c r="E56" s="17">
        <f>INDEX(Physician_Type_Bed_Rate,MATCH(August!B56,Physician_Type_Practice,0))*'Hospital Input Page'!$C$4</f>
        <v>1567.1802761360821</v>
      </c>
      <c r="F56" s="9">
        <f t="shared" si="7"/>
        <v>0</v>
      </c>
      <c r="H56" s="5">
        <f t="array" ref="H56">SUMIFS(Physician_Visit_August, Physician_Visit_Practice, August!B56, Independent_Contractor_Visits,  'Physician Types'!$D$81) + SUMIFS(Physician_Minutes_August,Physician_Minutes_Practice,August!B56, Independent_Contractor_Minutes, 'Physician Types'!$D$81)/INDEX(Physician_Type_Visit_Minutes,MATCH(August!B56,Physician_Type_Practice,0))</f>
        <v>0</v>
      </c>
      <c r="I56" s="43">
        <f t="shared" si="6"/>
        <v>0</v>
      </c>
      <c r="J56" s="10">
        <f>E56*'Physician Types'!$E$4</f>
        <v>47.015408284082461</v>
      </c>
      <c r="K56" s="10">
        <f t="shared" si="8"/>
        <v>0</v>
      </c>
    </row>
    <row r="57" spans="1:11" x14ac:dyDescent="0.2">
      <c r="A57" s="158">
        <v>2</v>
      </c>
      <c r="B57" s="107" t="s">
        <v>38</v>
      </c>
      <c r="C57" s="5">
        <f t="array" ref="C57">SUMIFS(Physician_Visit_August,Physician_Visit_Practice,August!B57,Physician_Visit_Hospitalists, "&lt;&gt;"&amp;'Physician Types'!$D$81)+SUMIFS(Physician_Visit_August,Physician_Visit_Practice,August!B57,Physician_Visit_Hospitalists,'Physician Types'!$D$81)*INDEX(Physician_Type_Hospitalists_Visit_Minutes,MATCH(August!B57,Physician_Type_Practice,0))/INDEX(Physician_Type_Visit_Minutes,MATCH(August!B57,Physician_Type_Practice,0)) +SUMIF(Physician_Minutes_Practice,August!B57,Physician_Minutes_August)/INDEX(Physician_Type_Visit_Minutes,MATCH(August!B57,Physician_Type_Practice,0))</f>
        <v>0</v>
      </c>
      <c r="D57" s="43">
        <f t="shared" si="5"/>
        <v>0</v>
      </c>
      <c r="E57" s="17">
        <f>INDEX(Physician_Type_Bed_Rate,MATCH(August!B57,Physician_Type_Practice,0))*'Hospital Input Page'!$C$4</f>
        <v>4399.0340503246935</v>
      </c>
      <c r="F57" s="9">
        <f t="shared" si="7"/>
        <v>0</v>
      </c>
      <c r="H57" s="5">
        <f t="array" ref="H57">SUMIFS(Physician_Visit_August, Physician_Visit_Practice, August!B57, Independent_Contractor_Visits,  'Physician Types'!$D$81) + SUMIFS(Physician_Minutes_August,Physician_Minutes_Practice,August!B57, Independent_Contractor_Minutes, 'Physician Types'!$D$81)/INDEX(Physician_Type_Visit_Minutes,MATCH(August!B57,Physician_Type_Practice,0))</f>
        <v>0</v>
      </c>
      <c r="I57" s="43">
        <f t="shared" si="6"/>
        <v>0</v>
      </c>
      <c r="J57" s="10">
        <f>E57*'Physician Types'!$E$4</f>
        <v>131.97102150974081</v>
      </c>
      <c r="K57" s="10">
        <f t="shared" si="8"/>
        <v>0</v>
      </c>
    </row>
    <row r="58" spans="1:11" x14ac:dyDescent="0.2">
      <c r="A58" s="158">
        <v>3</v>
      </c>
      <c r="B58" s="161" t="s">
        <v>155</v>
      </c>
      <c r="C58" s="5">
        <f t="array" ref="C58">SUMIFS(Physician_Visit_August,Physician_Visit_Practice,August!B58,Physician_Visit_Hospitalists, "&lt;&gt;"&amp;'Physician Types'!$D$81)+SUMIFS(Physician_Visit_August,Physician_Visit_Practice,August!B58,Physician_Visit_Hospitalists,'Physician Types'!$D$81)*INDEX(Physician_Type_Hospitalists_Visit_Minutes,MATCH(August!B58,Physician_Type_Practice,0))/INDEX(Physician_Type_Visit_Minutes,MATCH(August!B58,Physician_Type_Practice,0)) +SUMIF(Physician_Minutes_Practice,August!B58,Physician_Minutes_August)/INDEX(Physician_Type_Visit_Minutes,MATCH(August!B58,Physician_Type_Practice,0))</f>
        <v>150</v>
      </c>
      <c r="D58" s="43">
        <f t="shared" si="5"/>
        <v>0.28846708590549813</v>
      </c>
      <c r="E58" s="17">
        <f>INDEX(Physician_Type_Bed_Rate,MATCH(August!B58,Physician_Type_Practice,0))*'Hospital Input Page'!$C$4</f>
        <v>1951.6566327971132</v>
      </c>
      <c r="F58" s="9">
        <f t="shared" si="7"/>
        <v>562.98870155112002</v>
      </c>
      <c r="H58" s="5">
        <f t="array" ref="H58">SUMIFS(Physician_Visit_August, Physician_Visit_Practice, August!B58, Independent_Contractor_Visits,  'Physician Types'!$D$81) + SUMIFS(Physician_Minutes_August,Physician_Minutes_Practice,August!B58, Independent_Contractor_Minutes, 'Physician Types'!$D$81)/INDEX(Physician_Type_Visit_Minutes,MATCH(August!B58,Physician_Type_Practice,0))</f>
        <v>0</v>
      </c>
      <c r="I58" s="43">
        <f t="shared" si="6"/>
        <v>0</v>
      </c>
      <c r="J58" s="10">
        <f>E58*'Physician Types'!$E$4</f>
        <v>58.549698983913395</v>
      </c>
      <c r="K58" s="10">
        <f t="shared" si="8"/>
        <v>0</v>
      </c>
    </row>
    <row r="59" spans="1:11" x14ac:dyDescent="0.2">
      <c r="A59" s="158">
        <v>5</v>
      </c>
      <c r="B59" s="161" t="s">
        <v>137</v>
      </c>
      <c r="C59" s="5">
        <f t="array" ref="C59">SUMIFS(Physician_Visit_August,Physician_Visit_Practice,August!B59,Physician_Visit_Hospitalists, "&lt;&gt;"&amp;'Physician Types'!$D$81)+SUMIFS(Physician_Visit_August,Physician_Visit_Practice,August!B59,Physician_Visit_Hospitalists,'Physician Types'!$D$81)*INDEX(Physician_Type_Hospitalists_Visit_Minutes,MATCH(August!B59,Physician_Type_Practice,0))/INDEX(Physician_Type_Visit_Minutes,MATCH(August!B59,Physician_Type_Practice,0)) +SUMIF(Physician_Minutes_Practice,August!B59,Physician_Minutes_August)/INDEX(Physician_Type_Visit_Minutes,MATCH(August!B59,Physician_Type_Practice,0))</f>
        <v>0</v>
      </c>
      <c r="D59" s="43">
        <f t="shared" si="5"/>
        <v>0</v>
      </c>
      <c r="E59" s="17">
        <f>INDEX(Physician_Type_Bed_Rate,MATCH(August!B59,Physician_Type_Practice,0))*'Hospital Input Page'!$C$4</f>
        <v>4933.7879677111023</v>
      </c>
      <c r="F59" s="9">
        <f t="shared" si="7"/>
        <v>0</v>
      </c>
      <c r="H59" s="5">
        <f t="array" ref="H59">SUMIFS(Physician_Visit_August, Physician_Visit_Practice, August!B59, Independent_Contractor_Visits,  'Physician Types'!$D$81) + SUMIFS(Physician_Minutes_August,Physician_Minutes_Practice,August!B59, Independent_Contractor_Minutes, 'Physician Types'!$D$81)/INDEX(Physician_Type_Visit_Minutes,MATCH(August!B59,Physician_Type_Practice,0))</f>
        <v>0</v>
      </c>
      <c r="I59" s="43">
        <f t="shared" si="6"/>
        <v>0</v>
      </c>
      <c r="J59" s="10">
        <f>E59*'Physician Types'!$E$4</f>
        <v>148.01363903133307</v>
      </c>
      <c r="K59" s="10">
        <f t="shared" si="8"/>
        <v>0</v>
      </c>
    </row>
    <row r="60" spans="1:11" x14ac:dyDescent="0.2">
      <c r="A60" s="158">
        <v>6</v>
      </c>
      <c r="B60" s="102" t="s">
        <v>70</v>
      </c>
      <c r="C60" s="5">
        <f t="array" ref="C60">SUMIFS(Physician_Visit_August,Physician_Visit_Practice,August!B60,Physician_Visit_Hospitalists, "&lt;&gt;"&amp;'Physician Types'!$D$81)+SUMIFS(Physician_Visit_August,Physician_Visit_Practice,August!B60,Physician_Visit_Hospitalists,'Physician Types'!$D$81)*INDEX(Physician_Type_Hospitalists_Visit_Minutes,MATCH(August!B60,Physician_Type_Practice,0))/INDEX(Physician_Type_Visit_Minutes,MATCH(August!B60,Physician_Type_Practice,0)) +SUMIF(Physician_Minutes_Practice,August!B60,Physician_Minutes_August)/INDEX(Physician_Type_Visit_Minutes,MATCH(August!B60,Physician_Type_Practice,0))</f>
        <v>0</v>
      </c>
      <c r="D60" s="43">
        <f t="shared" si="5"/>
        <v>0</v>
      </c>
      <c r="E60" s="17">
        <f>INDEX(Physician_Type_Bed_Rate,MATCH(August!B60,Physician_Type_Practice,0))*'Hospital Input Page'!$C$4</f>
        <v>5179.6967034435384</v>
      </c>
      <c r="F60" s="9">
        <f t="shared" si="7"/>
        <v>0</v>
      </c>
      <c r="H60" s="5">
        <f t="array" ref="H60">SUMIFS(Physician_Visit_August, Physician_Visit_Practice, August!B60, Independent_Contractor_Visits,  'Physician Types'!$D$81) + SUMIFS(Physician_Minutes_August,Physician_Minutes_Practice,August!B60, Independent_Contractor_Minutes, 'Physician Types'!$D$81)/INDEX(Physician_Type_Visit_Minutes,MATCH(August!B60,Physician_Type_Practice,0))</f>
        <v>0</v>
      </c>
      <c r="I60" s="43">
        <f t="shared" si="6"/>
        <v>0</v>
      </c>
      <c r="J60" s="10">
        <f>E60*'Physician Types'!$E$4</f>
        <v>155.39090110330613</v>
      </c>
      <c r="K60" s="10">
        <f t="shared" si="8"/>
        <v>0</v>
      </c>
    </row>
    <row r="61" spans="1:11" x14ac:dyDescent="0.2">
      <c r="A61" s="158">
        <v>2</v>
      </c>
      <c r="B61" s="107" t="s">
        <v>39</v>
      </c>
      <c r="C61" s="5">
        <f t="array" ref="C61">SUMIFS(Physician_Visit_August,Physician_Visit_Practice,August!B61,Physician_Visit_Hospitalists, "&lt;&gt;"&amp;'Physician Types'!$D$81)+SUMIFS(Physician_Visit_August,Physician_Visit_Practice,August!B61,Physician_Visit_Hospitalists,'Physician Types'!$D$81)*INDEX(Physician_Type_Hospitalists_Visit_Minutes,MATCH(August!B61,Physician_Type_Practice,0))/INDEX(Physician_Type_Visit_Minutes,MATCH(August!B61,Physician_Type_Practice,0)) +SUMIF(Physician_Minutes_Practice,August!B61,Physician_Minutes_August)/INDEX(Physician_Type_Visit_Minutes,MATCH(August!B61,Physician_Type_Practice,0))</f>
        <v>0</v>
      </c>
      <c r="D61" s="43">
        <f t="shared" si="5"/>
        <v>0</v>
      </c>
      <c r="E61" s="17">
        <f>INDEX(Physician_Type_Bed_Rate,MATCH(August!B61,Physician_Type_Practice,0))*'Hospital Input Page'!$C$4</f>
        <v>2539.1052792690443</v>
      </c>
      <c r="F61" s="9">
        <f t="shared" si="7"/>
        <v>0</v>
      </c>
      <c r="H61" s="5">
        <f t="array" ref="H61">SUMIFS(Physician_Visit_August, Physician_Visit_Practice, August!B61, Independent_Contractor_Visits,  'Physician Types'!$D$81) + SUMIFS(Physician_Minutes_August,Physician_Minutes_Practice,August!B61, Independent_Contractor_Minutes, 'Physician Types'!$D$81)/INDEX(Physician_Type_Visit_Minutes,MATCH(August!B61,Physician_Type_Practice,0))</f>
        <v>0</v>
      </c>
      <c r="I61" s="43">
        <f t="shared" si="6"/>
        <v>0</v>
      </c>
      <c r="J61" s="10">
        <f>E61*'Physician Types'!$E$4</f>
        <v>76.173158378071321</v>
      </c>
      <c r="K61" s="10">
        <f t="shared" si="8"/>
        <v>0</v>
      </c>
    </row>
    <row r="62" spans="1:11" x14ac:dyDescent="0.2">
      <c r="A62" s="158">
        <v>2</v>
      </c>
      <c r="B62" s="107" t="s">
        <v>40</v>
      </c>
      <c r="C62" s="5">
        <f t="array" ref="C62">SUMIFS(Physician_Visit_August,Physician_Visit_Practice,August!B62,Physician_Visit_Hospitalists, "&lt;&gt;"&amp;'Physician Types'!$D$81)+SUMIFS(Physician_Visit_August,Physician_Visit_Practice,August!B62,Physician_Visit_Hospitalists,'Physician Types'!$D$81)*INDEX(Physician_Type_Hospitalists_Visit_Minutes,MATCH(August!B62,Physician_Type_Practice,0))/INDEX(Physician_Type_Visit_Minutes,MATCH(August!B62,Physician_Type_Practice,0)) +SUMIF(Physician_Minutes_Practice,August!B62,Physician_Minutes_August)/INDEX(Physician_Type_Visit_Minutes,MATCH(August!B62,Physician_Type_Practice,0))</f>
        <v>0</v>
      </c>
      <c r="D62" s="43">
        <f t="shared" si="5"/>
        <v>0</v>
      </c>
      <c r="E62" s="17">
        <f>INDEX(Physician_Type_Bed_Rate,MATCH(August!B62,Physician_Type_Practice,0))*'Hospital Input Page'!$C$4</f>
        <v>1619.8750052216039</v>
      </c>
      <c r="F62" s="9">
        <f t="shared" si="7"/>
        <v>0</v>
      </c>
      <c r="H62" s="5">
        <f t="array" ref="H62">SUMIFS(Physician_Visit_August, Physician_Visit_Practice, August!B62, Independent_Contractor_Visits,  'Physician Types'!$D$81) + SUMIFS(Physician_Minutes_August,Physician_Minutes_Practice,August!B62, Independent_Contractor_Minutes, 'Physician Types'!$D$81)/INDEX(Physician_Type_Visit_Minutes,MATCH(August!B62,Physician_Type_Practice,0))</f>
        <v>0</v>
      </c>
      <c r="I62" s="43">
        <f t="shared" si="6"/>
        <v>0</v>
      </c>
      <c r="J62" s="10">
        <f>E62*'Physician Types'!$E$4</f>
        <v>48.596250156648118</v>
      </c>
      <c r="K62" s="10">
        <f t="shared" si="8"/>
        <v>0</v>
      </c>
    </row>
    <row r="63" spans="1:11" x14ac:dyDescent="0.2">
      <c r="A63" s="158">
        <v>2</v>
      </c>
      <c r="B63" s="107" t="s">
        <v>41</v>
      </c>
      <c r="C63" s="5">
        <f t="array" ref="C63">SUMIFS(Physician_Visit_August,Physician_Visit_Practice,August!B63,Physician_Visit_Hospitalists, "&lt;&gt;"&amp;'Physician Types'!$D$81)+SUMIFS(Physician_Visit_August,Physician_Visit_Practice,August!B63,Physician_Visit_Hospitalists,'Physician Types'!$D$81)*INDEX(Physician_Type_Hospitalists_Visit_Minutes,MATCH(August!B63,Physician_Type_Practice,0))/INDEX(Physician_Type_Visit_Minutes,MATCH(August!B63,Physician_Type_Practice,0)) +SUMIF(Physician_Minutes_Practice,August!B63,Physician_Minutes_August)/INDEX(Physician_Type_Visit_Minutes,MATCH(August!B63,Physician_Type_Practice,0))</f>
        <v>0</v>
      </c>
      <c r="D63" s="43">
        <f t="shared" si="5"/>
        <v>0</v>
      </c>
      <c r="E63" s="17">
        <f>INDEX(Physician_Type_Bed_Rate,MATCH(August!B63,Physician_Type_Practice,0))*'Hospital Input Page'!$C$4</f>
        <v>4844.0117626024357</v>
      </c>
      <c r="F63" s="9">
        <f t="shared" si="7"/>
        <v>0</v>
      </c>
      <c r="H63" s="5">
        <f t="array" ref="H63">SUMIFS(Physician_Visit_August, Physician_Visit_Practice, August!B63, Independent_Contractor_Visits,  'Physician Types'!$D$81) + SUMIFS(Physician_Minutes_August,Physician_Minutes_Practice,August!B63, Independent_Contractor_Minutes, 'Physician Types'!$D$81)/INDEX(Physician_Type_Visit_Minutes,MATCH(August!B63,Physician_Type_Practice,0))</f>
        <v>0</v>
      </c>
      <c r="I63" s="43">
        <f t="shared" si="6"/>
        <v>0</v>
      </c>
      <c r="J63" s="10">
        <f>E63*'Physician Types'!$E$4</f>
        <v>145.32035287807307</v>
      </c>
      <c r="K63" s="10">
        <f t="shared" si="8"/>
        <v>0</v>
      </c>
    </row>
    <row r="64" spans="1:11" x14ac:dyDescent="0.2">
      <c r="A64" s="158">
        <v>6</v>
      </c>
      <c r="B64" s="128" t="s">
        <v>138</v>
      </c>
      <c r="C64" s="5">
        <f t="array" ref="C64">SUMIFS(Physician_Visit_August,Physician_Visit_Practice,August!B64,Physician_Visit_Hospitalists, "&lt;&gt;"&amp;'Physician Types'!$D$81)+SUMIFS(Physician_Visit_August,Physician_Visit_Practice,August!B64,Physician_Visit_Hospitalists,'Physician Types'!$D$81)*INDEX(Physician_Type_Hospitalists_Visit_Minutes,MATCH(August!B64,Physician_Type_Practice,0))/INDEX(Physician_Type_Visit_Minutes,MATCH(August!B64,Physician_Type_Practice,0)) +SUMIF(Physician_Minutes_Practice,August!B64,Physician_Minutes_August)/INDEX(Physician_Type_Visit_Minutes,MATCH(August!B64,Physician_Type_Practice,0))</f>
        <v>0</v>
      </c>
      <c r="D64" s="43">
        <f t="shared" si="5"/>
        <v>0</v>
      </c>
      <c r="E64" s="17">
        <f>INDEX(Physician_Type_Bed_Rate,MATCH(August!B64,Physician_Type_Practice,0))*'Hospital Input Page'!$C$4</f>
        <v>5782.7586029778467</v>
      </c>
      <c r="F64" s="9">
        <f t="shared" si="7"/>
        <v>0</v>
      </c>
      <c r="H64" s="5">
        <f t="array" ref="H64">SUMIFS(Physician_Visit_August, Physician_Visit_Practice, August!B64, Independent_Contractor_Visits,  'Physician Types'!$D$81) + SUMIFS(Physician_Minutes_August,Physician_Minutes_Practice,August!B64, Independent_Contractor_Minutes, 'Physician Types'!$D$81)/INDEX(Physician_Type_Visit_Minutes,MATCH(August!B64,Physician_Type_Practice,0))</f>
        <v>0</v>
      </c>
      <c r="I64" s="43">
        <f t="shared" si="6"/>
        <v>0</v>
      </c>
      <c r="J64" s="10">
        <f>E64*'Physician Types'!$E$4</f>
        <v>173.48275808933539</v>
      </c>
      <c r="K64" s="10">
        <f t="shared" si="8"/>
        <v>0</v>
      </c>
    </row>
    <row r="65" spans="1:17" x14ac:dyDescent="0.2">
      <c r="A65" s="158">
        <v>2</v>
      </c>
      <c r="B65" s="107" t="s">
        <v>42</v>
      </c>
      <c r="C65" s="5">
        <f t="array" ref="C65">SUMIFS(Physician_Visit_August,Physician_Visit_Practice,August!B65,Physician_Visit_Hospitalists, "&lt;&gt;"&amp;'Physician Types'!$D$81)+SUMIFS(Physician_Visit_August,Physician_Visit_Practice,August!B65,Physician_Visit_Hospitalists,'Physician Types'!$D$81)*INDEX(Physician_Type_Hospitalists_Visit_Minutes,MATCH(August!B65,Physician_Type_Practice,0))/INDEX(Physician_Type_Visit_Minutes,MATCH(August!B65,Physician_Type_Practice,0)) +SUMIF(Physician_Minutes_Practice,August!B65,Physician_Minutes_August)/INDEX(Physician_Type_Visit_Minutes,MATCH(August!B65,Physician_Type_Practice,0))</f>
        <v>0</v>
      </c>
      <c r="D65" s="43">
        <f t="shared" si="5"/>
        <v>0</v>
      </c>
      <c r="E65" s="17">
        <f>INDEX(Physician_Type_Bed_Rate,MATCH(August!B65,Physician_Type_Practice,0))*'Hospital Input Page'!$C$4</f>
        <v>1487.1623541914003</v>
      </c>
      <c r="F65" s="9">
        <f t="shared" si="7"/>
        <v>0</v>
      </c>
      <c r="H65" s="5">
        <f t="array" ref="H65">SUMIFS(Physician_Visit_August, Physician_Visit_Practice, August!B65, Independent_Contractor_Visits,  'Physician Types'!$D$81) + SUMIFS(Physician_Minutes_August,Physician_Minutes_Practice,August!B65, Independent_Contractor_Minutes, 'Physician Types'!$D$81)/INDEX(Physician_Type_Visit_Minutes,MATCH(August!B65,Physician_Type_Practice,0))</f>
        <v>0</v>
      </c>
      <c r="I65" s="43">
        <f t="shared" si="6"/>
        <v>0</v>
      </c>
      <c r="J65" s="10">
        <f>E65*'Physician Types'!$E$4</f>
        <v>44.614870625742007</v>
      </c>
      <c r="K65" s="10">
        <f t="shared" si="8"/>
        <v>0</v>
      </c>
    </row>
    <row r="66" spans="1:17" x14ac:dyDescent="0.2">
      <c r="A66" s="158">
        <v>5</v>
      </c>
      <c r="B66" s="102" t="s">
        <v>64</v>
      </c>
      <c r="C66" s="5">
        <f t="array" ref="C66">SUMIFS(Physician_Visit_August,Physician_Visit_Practice,August!B66,Physician_Visit_Hospitalists, "&lt;&gt;"&amp;'Physician Types'!$D$81)+SUMIFS(Physician_Visit_August,Physician_Visit_Practice,August!B66,Physician_Visit_Hospitalists,'Physician Types'!$D$81)*INDEX(Physician_Type_Hospitalists_Visit_Minutes,MATCH(August!B66,Physician_Type_Practice,0))/INDEX(Physician_Type_Visit_Minutes,MATCH(August!B66,Physician_Type_Practice,0)) +SUMIF(Physician_Minutes_Practice,August!B66,Physician_Minutes_August)/INDEX(Physician_Type_Visit_Minutes,MATCH(August!B66,Physician_Type_Practice,0))</f>
        <v>0</v>
      </c>
      <c r="D66" s="43">
        <f t="shared" si="5"/>
        <v>0</v>
      </c>
      <c r="E66" s="17">
        <f>INDEX(Physician_Type_Bed_Rate,MATCH(August!B66,Physician_Type_Practice,0))*'Hospital Input Page'!$C$4</f>
        <v>2406.3926282388406</v>
      </c>
      <c r="F66" s="9">
        <f t="shared" si="7"/>
        <v>0</v>
      </c>
      <c r="H66" s="5">
        <f t="array" ref="H66">SUMIFS(Physician_Visit_August, Physician_Visit_Practice, August!B66, Independent_Contractor_Visits,  'Physician Types'!$D$81) + SUMIFS(Physician_Minutes_August,Physician_Minutes_Practice,August!B66, Independent_Contractor_Minutes, 'Physician Types'!$D$81)/INDEX(Physician_Type_Visit_Minutes,MATCH(August!B66,Physician_Type_Practice,0))</f>
        <v>0</v>
      </c>
      <c r="I66" s="43">
        <f t="shared" si="6"/>
        <v>0</v>
      </c>
      <c r="J66" s="10">
        <f>E66*'Physician Types'!$E$4</f>
        <v>72.19177884716521</v>
      </c>
      <c r="K66" s="10">
        <f t="shared" si="8"/>
        <v>0</v>
      </c>
    </row>
    <row r="67" spans="1:17" x14ac:dyDescent="0.2">
      <c r="A67" s="158">
        <v>5</v>
      </c>
      <c r="B67" s="102" t="s">
        <v>65</v>
      </c>
      <c r="C67" s="5">
        <f t="array" ref="C67">SUMIFS(Physician_Visit_August,Physician_Visit_Practice,August!B67,Physician_Visit_Hospitalists, "&lt;&gt;"&amp;'Physician Types'!$D$81)+SUMIFS(Physician_Visit_August,Physician_Visit_Practice,August!B67,Physician_Visit_Hospitalists,'Physician Types'!$D$81)*INDEX(Physician_Type_Hospitalists_Visit_Minutes,MATCH(August!B67,Physician_Type_Practice,0))/INDEX(Physician_Type_Visit_Minutes,MATCH(August!B67,Physician_Type_Practice,0)) +SUMIF(Physician_Minutes_Practice,August!B67,Physician_Minutes_August)/INDEX(Physician_Type_Visit_Minutes,MATCH(August!B67,Physician_Type_Practice,0))</f>
        <v>0</v>
      </c>
      <c r="D67" s="43">
        <f t="shared" si="5"/>
        <v>0</v>
      </c>
      <c r="E67" s="17">
        <f>INDEX(Physician_Type_Bed_Rate,MATCH(August!B67,Physician_Type_Practice,0))*'Hospital Input Page'!$C$4</f>
        <v>1487.1623541914003</v>
      </c>
      <c r="F67" s="9">
        <f t="shared" si="7"/>
        <v>0</v>
      </c>
      <c r="H67" s="5">
        <f t="array" ref="H67">SUMIFS(Physician_Visit_August, Physician_Visit_Practice, August!B67, Independent_Contractor_Visits,  'Physician Types'!$D$81) + SUMIFS(Physician_Minutes_August,Physician_Minutes_Practice,August!B67, Independent_Contractor_Minutes, 'Physician Types'!$D$81)/INDEX(Physician_Type_Visit_Minutes,MATCH(August!B67,Physician_Type_Practice,0))</f>
        <v>0</v>
      </c>
      <c r="I67" s="43">
        <f t="shared" si="6"/>
        <v>0</v>
      </c>
      <c r="J67" s="10">
        <f>E67*'Physician Types'!$E$4</f>
        <v>44.614870625742007</v>
      </c>
      <c r="K67" s="10">
        <f t="shared" si="8"/>
        <v>0</v>
      </c>
    </row>
    <row r="68" spans="1:17" x14ac:dyDescent="0.2">
      <c r="A68" s="158">
        <v>5</v>
      </c>
      <c r="B68" s="102" t="s">
        <v>66</v>
      </c>
      <c r="C68" s="5">
        <f t="array" ref="C68">SUMIFS(Physician_Visit_August,Physician_Visit_Practice,August!B68,Physician_Visit_Hospitalists, "&lt;&gt;"&amp;'Physician Types'!$D$81)+SUMIFS(Physician_Visit_August,Physician_Visit_Practice,August!B68,Physician_Visit_Hospitalists,'Physician Types'!$D$81)*INDEX(Physician_Type_Hospitalists_Visit_Minutes,MATCH(August!B68,Physician_Type_Practice,0))/INDEX(Physician_Type_Visit_Minutes,MATCH(August!B68,Physician_Type_Practice,0)) +SUMIF(Physician_Minutes_Practice,August!B68,Physician_Minutes_August)/INDEX(Physician_Type_Visit_Minutes,MATCH(August!B68,Physician_Type_Practice,0))</f>
        <v>0</v>
      </c>
      <c r="D68" s="43">
        <f t="shared" si="5"/>
        <v>0</v>
      </c>
      <c r="E68" s="17">
        <f>INDEX(Physician_Type_Bed_Rate,MATCH(August!B68,Physician_Type_Practice,0))*'Hospital Input Page'!$C$4</f>
        <v>4644.9427860571295</v>
      </c>
      <c r="F68" s="9">
        <f t="shared" si="7"/>
        <v>0</v>
      </c>
      <c r="H68" s="5">
        <f t="array" ref="H68">SUMIFS(Physician_Visit_August, Physician_Visit_Practice, August!B68, Independent_Contractor_Visits,  'Physician Types'!$D$81) + SUMIFS(Physician_Minutes_August,Physician_Minutes_Practice,August!B68, Independent_Contractor_Minutes, 'Physician Types'!$D$81)/INDEX(Physician_Type_Visit_Minutes,MATCH(August!B68,Physician_Type_Practice,0))</f>
        <v>0</v>
      </c>
      <c r="I68" s="43">
        <f t="shared" si="6"/>
        <v>0</v>
      </c>
      <c r="J68" s="10">
        <f>E68*'Physician Types'!$E$4</f>
        <v>139.34828358171387</v>
      </c>
      <c r="K68" s="10">
        <f t="shared" si="8"/>
        <v>0</v>
      </c>
    </row>
    <row r="69" spans="1:17" x14ac:dyDescent="0.2">
      <c r="A69" s="158">
        <v>2</v>
      </c>
      <c r="B69" s="107" t="s">
        <v>43</v>
      </c>
      <c r="C69" s="5">
        <f t="array" ref="C69">SUMIFS(Physician_Visit_August,Physician_Visit_Practice,August!B69,Physician_Visit_Hospitalists, "&lt;&gt;"&amp;'Physician Types'!$D$81)+SUMIFS(Physician_Visit_August,Physician_Visit_Practice,August!B69,Physician_Visit_Hospitalists,'Physician Types'!$D$81)*INDEX(Physician_Type_Hospitalists_Visit_Minutes,MATCH(August!B69,Physician_Type_Practice,0))/INDEX(Physician_Type_Visit_Minutes,MATCH(August!B69,Physician_Type_Practice,0)) +SUMIF(Physician_Minutes_Practice,August!B69,Physician_Minutes_August)/INDEX(Physician_Type_Visit_Minutes,MATCH(August!B69,Physician_Type_Practice,0))</f>
        <v>0</v>
      </c>
      <c r="D69" s="43">
        <f t="shared" si="5"/>
        <v>0</v>
      </c>
      <c r="E69" s="17">
        <f>INDEX(Physician_Type_Bed_Rate,MATCH(August!B69,Physician_Type_Practice,0))*'Hospital Input Page'!$C$4</f>
        <v>2539.1052792690443</v>
      </c>
      <c r="F69" s="9">
        <f t="shared" si="7"/>
        <v>0</v>
      </c>
      <c r="H69" s="5">
        <f t="array" ref="H69">SUMIFS(Physician_Visit_August, Physician_Visit_Practice, August!B69, Independent_Contractor_Visits,  'Physician Types'!$D$81) + SUMIFS(Physician_Minutes_August,Physician_Minutes_Practice,August!B69, Independent_Contractor_Minutes, 'Physician Types'!$D$81)/INDEX(Physician_Type_Visit_Minutes,MATCH(August!B69,Physician_Type_Practice,0))</f>
        <v>0</v>
      </c>
      <c r="I69" s="43">
        <f t="shared" si="6"/>
        <v>0</v>
      </c>
      <c r="J69" s="10">
        <f>E69*'Physician Types'!$E$4</f>
        <v>76.173158378071321</v>
      </c>
      <c r="K69" s="10">
        <f t="shared" si="8"/>
        <v>0</v>
      </c>
    </row>
    <row r="70" spans="1:17" x14ac:dyDescent="0.2">
      <c r="A70" s="158">
        <v>2</v>
      </c>
      <c r="B70" s="107" t="s">
        <v>44</v>
      </c>
      <c r="C70" s="5">
        <f t="array" ref="C70">SUMIFS(Physician_Visit_August,Physician_Visit_Practice,August!B70,Physician_Visit_Hospitalists, "&lt;&gt;"&amp;'Physician Types'!$D$81)+SUMIFS(Physician_Visit_August,Physician_Visit_Practice,August!B70,Physician_Visit_Hospitalists,'Physician Types'!$D$81)*INDEX(Physician_Type_Hospitalists_Visit_Minutes,MATCH(August!B70,Physician_Type_Practice,0))/INDEX(Physician_Type_Visit_Minutes,MATCH(August!B70,Physician_Type_Practice,0)) +SUMIF(Physician_Minutes_Practice,August!B70,Physician_Minutes_August)/INDEX(Physician_Type_Visit_Minutes,MATCH(August!B70,Physician_Type_Practice,0))</f>
        <v>0</v>
      </c>
      <c r="D70" s="43">
        <f t="shared" si="5"/>
        <v>0</v>
      </c>
      <c r="E70" s="17">
        <f>INDEX(Physician_Type_Bed_Rate,MATCH(August!B70,Physician_Type_Practice,0))*'Hospital Input Page'!$C$4</f>
        <v>1619.8750052216039</v>
      </c>
      <c r="F70" s="9">
        <f t="shared" si="7"/>
        <v>0</v>
      </c>
      <c r="H70" s="5">
        <f t="array" ref="H70">SUMIFS(Physician_Visit_August, Physician_Visit_Practice, August!B70, Independent_Contractor_Visits,  'Physician Types'!$D$81) + SUMIFS(Physician_Minutes_August,Physician_Minutes_Practice,August!B70, Independent_Contractor_Minutes, 'Physician Types'!$D$81)/INDEX(Physician_Type_Visit_Minutes,MATCH(August!B70,Physician_Type_Practice,0))</f>
        <v>0</v>
      </c>
      <c r="I70" s="43">
        <f t="shared" si="6"/>
        <v>0</v>
      </c>
      <c r="J70" s="10">
        <f>E70*'Physician Types'!$E$4</f>
        <v>48.596250156648118</v>
      </c>
      <c r="K70" s="10">
        <f t="shared" si="8"/>
        <v>0</v>
      </c>
    </row>
    <row r="71" spans="1:17" x14ac:dyDescent="0.2">
      <c r="A71" s="158">
        <v>2</v>
      </c>
      <c r="B71" s="161" t="s">
        <v>154</v>
      </c>
      <c r="C71" s="5">
        <f t="array" ref="C71">SUMIFS(Physician_Visit_August,Physician_Visit_Practice,August!B71,Physician_Visit_Hospitalists, "&lt;&gt;"&amp;'Physician Types'!$D$81)+SUMIFS(Physician_Visit_August,Physician_Visit_Practice,August!B71,Physician_Visit_Hospitalists,'Physician Types'!$D$81)*INDEX(Physician_Type_Hospitalists_Visit_Minutes,MATCH(August!B71,Physician_Type_Practice,0))/INDEX(Physician_Type_Visit_Minutes,MATCH(August!B71,Physician_Type_Practice,0)) +SUMIF(Physician_Minutes_Practice,August!B71,Physician_Minutes_August)/INDEX(Physician_Type_Visit_Minutes,MATCH(August!B71,Physician_Type_Practice,0))</f>
        <v>0</v>
      </c>
      <c r="D71" s="43">
        <f t="shared" si="5"/>
        <v>0</v>
      </c>
      <c r="E71" s="17">
        <f>INDEX(Physician_Type_Bed_Rate,MATCH(August!B71,Physician_Type_Practice,0))*'Hospital Input Page'!$C$4</f>
        <v>1951.6566327971132</v>
      </c>
      <c r="F71" s="9">
        <f t="shared" si="7"/>
        <v>0</v>
      </c>
      <c r="H71" s="5">
        <f t="array" ref="H71">SUMIFS(Physician_Visit_August, Physician_Visit_Practice, August!B71, Independent_Contractor_Visits,  'Physician Types'!$D$81) + SUMIFS(Physician_Minutes_August,Physician_Minutes_Practice,August!B71, Independent_Contractor_Minutes, 'Physician Types'!$D$81)/INDEX(Physician_Type_Visit_Minutes,MATCH(August!B71,Physician_Type_Practice,0))</f>
        <v>0</v>
      </c>
      <c r="I71" s="43">
        <f t="shared" si="6"/>
        <v>0</v>
      </c>
      <c r="J71" s="10">
        <f>E71*'Physician Types'!$E$4</f>
        <v>58.549698983913395</v>
      </c>
      <c r="K71" s="10">
        <f t="shared" si="8"/>
        <v>0</v>
      </c>
    </row>
    <row r="72" spans="1:17" x14ac:dyDescent="0.2">
      <c r="A72" s="158">
        <v>4</v>
      </c>
      <c r="B72" s="102" t="s">
        <v>62</v>
      </c>
      <c r="C72" s="5">
        <f t="array" ref="C72">SUMIFS(Physician_Visit_August,Physician_Visit_Practice,August!B72,Physician_Visit_Hospitalists, "&lt;&gt;"&amp;'Physician Types'!$D$81)+SUMIFS(Physician_Visit_August,Physician_Visit_Practice,August!B72,Physician_Visit_Hospitalists,'Physician Types'!$D$81)*INDEX(Physician_Type_Hospitalists_Visit_Minutes,MATCH(August!B72,Physician_Type_Practice,0))/INDEX(Physician_Type_Visit_Minutes,MATCH(August!B72,Physician_Type_Practice,0)) +SUMIF(Physician_Minutes_Practice,August!B72,Physician_Minutes_August)/INDEX(Physician_Type_Visit_Minutes,MATCH(August!B72,Physician_Type_Practice,0))</f>
        <v>0</v>
      </c>
      <c r="D72" s="43">
        <f t="shared" si="5"/>
        <v>0</v>
      </c>
      <c r="E72" s="17">
        <f>INDEX(Physician_Type_Bed_Rate,MATCH(August!B72,Physician_Type_Practice,0))*'Hospital Input Page'!$C$4</f>
        <v>2529.3469961050587</v>
      </c>
      <c r="F72" s="9">
        <f t="shared" si="7"/>
        <v>0</v>
      </c>
      <c r="H72" s="5">
        <f t="array" ref="H72">SUMIFS(Physician_Visit_August, Physician_Visit_Practice, August!B72, Independent_Contractor_Visits,  'Physician Types'!$D$81) + SUMIFS(Physician_Minutes_August,Physician_Minutes_Practice,August!B72, Independent_Contractor_Minutes, 'Physician Types'!$D$81)/INDEX(Physician_Type_Visit_Minutes,MATCH(August!B72,Physician_Type_Practice,0))</f>
        <v>0</v>
      </c>
      <c r="I72" s="43">
        <f t="shared" si="6"/>
        <v>0</v>
      </c>
      <c r="J72" s="10">
        <f>E72*'Physician Types'!$E$4</f>
        <v>75.880409883151756</v>
      </c>
      <c r="K72" s="10">
        <f t="shared" si="8"/>
        <v>0</v>
      </c>
      <c r="M72" s="5"/>
      <c r="O72" s="5"/>
      <c r="Q72" s="5"/>
    </row>
    <row r="73" spans="1:17" x14ac:dyDescent="0.2">
      <c r="A73" s="158">
        <v>2</v>
      </c>
      <c r="B73" s="107" t="s">
        <v>45</v>
      </c>
      <c r="C73" s="5">
        <f t="array" ref="C73">SUMIFS(Physician_Visit_August,Physician_Visit_Practice,August!B73,Physician_Visit_Hospitalists, "&lt;&gt;"&amp;'Physician Types'!$D$81)+SUMIFS(Physician_Visit_August,Physician_Visit_Practice,August!B73,Physician_Visit_Hospitalists,'Physician Types'!$D$81)*INDEX(Physician_Type_Hospitalists_Visit_Minutes,MATCH(August!B73,Physician_Type_Practice,0))/INDEX(Physician_Type_Visit_Minutes,MATCH(August!B73,Physician_Type_Practice,0)) +SUMIF(Physician_Minutes_Practice,August!B73,Physician_Minutes_August)/INDEX(Physician_Type_Visit_Minutes,MATCH(August!B73,Physician_Type_Practice,0))</f>
        <v>0</v>
      </c>
      <c r="D73" s="43">
        <f t="shared" si="5"/>
        <v>0</v>
      </c>
      <c r="E73" s="17">
        <f>INDEX(Physician_Type_Bed_Rate,MATCH(August!B73,Physician_Type_Practice,0))*'Hospital Input Page'!$C$4</f>
        <v>4844.0117626024357</v>
      </c>
      <c r="F73" s="9">
        <f t="shared" si="7"/>
        <v>0</v>
      </c>
      <c r="H73" s="5">
        <f t="array" ref="H73">SUMIFS(Physician_Visit_August, Physician_Visit_Practice, August!B73, Independent_Contractor_Visits,  'Physician Types'!$D$81) + SUMIFS(Physician_Minutes_August,Physician_Minutes_Practice,August!B73, Independent_Contractor_Minutes, 'Physician Types'!$D$81)/INDEX(Physician_Type_Visit_Minutes,MATCH(August!B73,Physician_Type_Practice,0))</f>
        <v>0</v>
      </c>
      <c r="I73" s="43">
        <f t="shared" si="6"/>
        <v>0</v>
      </c>
      <c r="J73" s="10">
        <f>E73*'Physician Types'!$E$4</f>
        <v>145.32035287807307</v>
      </c>
      <c r="K73" s="10">
        <f t="shared" si="8"/>
        <v>0</v>
      </c>
      <c r="Q73" s="5"/>
    </row>
    <row r="74" spans="1:17" x14ac:dyDescent="0.2">
      <c r="A74" s="158">
        <v>4</v>
      </c>
      <c r="B74" s="107" t="s">
        <v>63</v>
      </c>
      <c r="C74" s="5">
        <f t="array" ref="C74">SUMIFS(Physician_Visit_August,Physician_Visit_Practice,August!B74,Physician_Visit_Hospitalists, "&lt;&gt;"&amp;'Physician Types'!$D$81)+SUMIFS(Physician_Visit_August,Physician_Visit_Practice,August!B74,Physician_Visit_Hospitalists,'Physician Types'!$D$81)*INDEX(Physician_Type_Hospitalists_Visit_Minutes,MATCH(August!B74,Physician_Type_Practice,0))/INDEX(Physician_Type_Visit_Minutes,MATCH(August!B74,Physician_Type_Practice,0)) +SUMIF(Physician_Minutes_Practice,August!B74,Physician_Minutes_August)/INDEX(Physician_Type_Visit_Minutes,MATCH(August!B74,Physician_Type_Practice,0))</f>
        <v>0</v>
      </c>
      <c r="D74" s="43">
        <f t="shared" si="5"/>
        <v>0</v>
      </c>
      <c r="E74" s="17">
        <f>INDEX(Physician_Type_Bed_Rate,MATCH(August!B74,Physician_Type_Practice,0))*'Hospital Input Page'!$C$4</f>
        <v>2539.1052792690443</v>
      </c>
      <c r="F74" s="9">
        <f t="shared" si="7"/>
        <v>0</v>
      </c>
      <c r="H74" s="5">
        <f t="array" ref="H74">SUMIFS(Physician_Visit_August, Physician_Visit_Practice, August!B74, Independent_Contractor_Visits,  'Physician Types'!$D$81) + SUMIFS(Physician_Minutes_August,Physician_Minutes_Practice,August!B74, Independent_Contractor_Minutes, 'Physician Types'!$D$81)/INDEX(Physician_Type_Visit_Minutes,MATCH(August!B74,Physician_Type_Practice,0))</f>
        <v>0</v>
      </c>
      <c r="I74" s="43">
        <f t="shared" si="6"/>
        <v>0</v>
      </c>
      <c r="J74" s="10">
        <f>E74*'Physician Types'!$E$4</f>
        <v>76.173158378071321</v>
      </c>
      <c r="K74" s="10">
        <f t="shared" si="8"/>
        <v>0</v>
      </c>
      <c r="Q74" s="5"/>
    </row>
    <row r="75" spans="1:17" x14ac:dyDescent="0.2">
      <c r="A75" s="158">
        <v>2</v>
      </c>
      <c r="B75" s="107" t="s">
        <v>46</v>
      </c>
      <c r="C75" s="5">
        <f t="array" ref="C75">SUMIFS(Physician_Visit_August,Physician_Visit_Practice,August!B75,Physician_Visit_Hospitalists, "&lt;&gt;"&amp;'Physician Types'!$D$81)+SUMIFS(Physician_Visit_August,Physician_Visit_Practice,August!B75,Physician_Visit_Hospitalists,'Physician Types'!$D$81)*INDEX(Physician_Type_Hospitalists_Visit_Minutes,MATCH(August!B75,Physician_Type_Practice,0))/INDEX(Physician_Type_Visit_Minutes,MATCH(August!B75,Physician_Type_Practice,0)) +SUMIF(Physician_Minutes_Practice,August!B75,Physician_Minutes_August)/INDEX(Physician_Type_Visit_Minutes,MATCH(August!B75,Physician_Type_Practice,0))</f>
        <v>0</v>
      </c>
      <c r="D75" s="43">
        <f t="shared" si="5"/>
        <v>0</v>
      </c>
      <c r="E75" s="17">
        <f>INDEX(Physician_Type_Bed_Rate,MATCH(August!B75,Physician_Type_Practice,0))*'Hospital Input Page'!$C$4</f>
        <v>1619.8750052216039</v>
      </c>
      <c r="F75" s="9">
        <f t="shared" si="7"/>
        <v>0</v>
      </c>
      <c r="H75" s="5">
        <f t="array" ref="H75">SUMIFS(Physician_Visit_August, Physician_Visit_Practice, August!B75, Independent_Contractor_Visits,  'Physician Types'!$D$81) + SUMIFS(Physician_Minutes_August,Physician_Minutes_Practice,August!B75, Independent_Contractor_Minutes, 'Physician Types'!$D$81)/INDEX(Physician_Type_Visit_Minutes,MATCH(August!B75,Physician_Type_Practice,0))</f>
        <v>0</v>
      </c>
      <c r="I75" s="43">
        <f t="shared" si="6"/>
        <v>0</v>
      </c>
      <c r="J75" s="10">
        <f>E75*'Physician Types'!$E$4</f>
        <v>48.596250156648118</v>
      </c>
      <c r="K75" s="10">
        <f t="shared" si="8"/>
        <v>0</v>
      </c>
      <c r="Q75" s="5"/>
    </row>
    <row r="76" spans="1:17" x14ac:dyDescent="0.2">
      <c r="A76" s="158">
        <v>3</v>
      </c>
      <c r="B76" s="102" t="s">
        <v>54</v>
      </c>
      <c r="C76" s="5">
        <f t="array" ref="C76">SUMIFS(Physician_Visit_August,Physician_Visit_Practice,August!B76,Physician_Visit_Hospitalists, "&lt;&gt;"&amp;'Physician Types'!$D$81)+SUMIFS(Physician_Visit_August,Physician_Visit_Practice,August!B76,Physician_Visit_Hospitalists,'Physician Types'!$D$81)*INDEX(Physician_Type_Hospitalists_Visit_Minutes,MATCH(August!B76,Physician_Type_Practice,0))/INDEX(Physician_Type_Visit_Minutes,MATCH(August!B76,Physician_Type_Practice,0)) +SUMIF(Physician_Minutes_Practice,August!B76,Physician_Minutes_August)/INDEX(Physician_Type_Visit_Minutes,MATCH(August!B76,Physician_Type_Practice,0))</f>
        <v>0</v>
      </c>
      <c r="D76" s="43">
        <f t="shared" si="5"/>
        <v>0</v>
      </c>
      <c r="E76" s="17">
        <f>INDEX(Physician_Type_Bed_Rate,MATCH(August!B76,Physician_Type_Practice,0))*'Hospital Input Page'!$C$4</f>
        <v>2699.1411231584075</v>
      </c>
      <c r="F76" s="9">
        <f t="shared" si="7"/>
        <v>0</v>
      </c>
      <c r="H76" s="5">
        <f t="array" ref="H76">SUMIFS(Physician_Visit_August, Physician_Visit_Practice, August!B76, Independent_Contractor_Visits,  'Physician Types'!$D$81) + SUMIFS(Physician_Minutes_August,Physician_Minutes_Practice,August!B76, Independent_Contractor_Minutes, 'Physician Types'!$D$81)/INDEX(Physician_Type_Visit_Minutes,MATCH(August!B76,Physician_Type_Practice,0))</f>
        <v>0</v>
      </c>
      <c r="I76" s="43">
        <f t="shared" si="6"/>
        <v>0</v>
      </c>
      <c r="J76" s="10">
        <f>E76*'Physician Types'!$E$4</f>
        <v>80.974233694752215</v>
      </c>
      <c r="K76" s="10">
        <f t="shared" si="8"/>
        <v>0</v>
      </c>
      <c r="Q76" s="5"/>
    </row>
    <row r="77" spans="1:17" x14ac:dyDescent="0.2">
      <c r="A77" s="158">
        <v>3</v>
      </c>
      <c r="B77" s="102" t="s">
        <v>55</v>
      </c>
      <c r="C77" s="5">
        <f t="array" ref="C77">SUMIFS(Physician_Visit_August,Physician_Visit_Practice,August!B77,Physician_Visit_Hospitalists, "&lt;&gt;"&amp;'Physician Types'!$D$81)+SUMIFS(Physician_Visit_August,Physician_Visit_Practice,August!B77,Physician_Visit_Hospitalists,'Physician Types'!$D$81)*INDEX(Physician_Type_Hospitalists_Visit_Minutes,MATCH(August!B77,Physician_Type_Practice,0))/INDEX(Physician_Type_Visit_Minutes,MATCH(August!B77,Physician_Type_Practice,0)) +SUMIF(Physician_Minutes_Practice,August!B77,Physician_Minutes_August)/INDEX(Physician_Type_Visit_Minutes,MATCH(August!B77,Physician_Type_Practice,0))</f>
        <v>0</v>
      </c>
      <c r="D77" s="43">
        <f t="shared" si="5"/>
        <v>0</v>
      </c>
      <c r="E77" s="17">
        <f>INDEX(Physician_Type_Bed_Rate,MATCH(August!B77,Physician_Type_Practice,0))*'Hospital Input Page'!$C$4</f>
        <v>2222.9369047559121</v>
      </c>
      <c r="F77" s="9">
        <f t="shared" si="7"/>
        <v>0</v>
      </c>
      <c r="H77" s="5">
        <f t="array" ref="H77">SUMIFS(Physician_Visit_August, Physician_Visit_Practice, August!B77, Independent_Contractor_Visits,  'Physician Types'!$D$81) + SUMIFS(Physician_Minutes_August,Physician_Minutes_Practice,August!B77, Independent_Contractor_Minutes, 'Physician Types'!$D$81)/INDEX(Physician_Type_Visit_Minutes,MATCH(August!B77,Physician_Type_Practice,0))</f>
        <v>0</v>
      </c>
      <c r="I77" s="43">
        <f t="shared" si="6"/>
        <v>0</v>
      </c>
      <c r="J77" s="10">
        <f>E77*'Physician Types'!$E$4</f>
        <v>66.688107142677367</v>
      </c>
      <c r="K77" s="10">
        <f t="shared" si="8"/>
        <v>0</v>
      </c>
    </row>
    <row r="78" spans="1:17" x14ac:dyDescent="0.2">
      <c r="A78" s="158">
        <v>8</v>
      </c>
      <c r="B78" s="102" t="s">
        <v>77</v>
      </c>
      <c r="C78" s="5">
        <f t="array" ref="C78">SUMIFS(Physician_Visit_August,Physician_Visit_Practice,August!B78,Physician_Visit_Hospitalists, "&lt;&gt;"&amp;'Physician Types'!$D$81)+SUMIFS(Physician_Visit_August,Physician_Visit_Practice,August!B78,Physician_Visit_Hospitalists,'Physician Types'!$D$81)*INDEX(Physician_Type_Hospitalists_Visit_Minutes,MATCH(August!B78,Physician_Type_Practice,0))/INDEX(Physician_Type_Visit_Minutes,MATCH(August!B78,Physician_Type_Practice,0)) +SUMIF(Physician_Minutes_Practice,August!B78,Physician_Minutes_August)/INDEX(Physician_Type_Visit_Minutes,MATCH(August!B78,Physician_Type_Practice,0))</f>
        <v>0</v>
      </c>
      <c r="D78" s="43">
        <f t="shared" ref="D78:D110" si="9">C78*INDEX(Physician_Type_Visit_Minutes,MATCH(B78,Physician_Type_Practice,0))/INDEX(Physician_Type_FTE_Minutes,MATCH(B78,Physician_Type_Practice,0))</f>
        <v>0</v>
      </c>
      <c r="E78" s="17">
        <f>INDEX(Physician_Type_Bed_Rate,MATCH(August!B78,Physician_Type_Practice,0))*'Hospital Input Page'!$C$4</f>
        <v>11024.908318670894</v>
      </c>
      <c r="F78" s="9">
        <f t="shared" si="7"/>
        <v>0</v>
      </c>
      <c r="H78" s="5">
        <f t="array" ref="H78">SUMIFS(Physician_Visit_August, Physician_Visit_Practice, August!B78, Independent_Contractor_Visits,  'Physician Types'!$D$81) + SUMIFS(Physician_Minutes_August,Physician_Minutes_Practice,August!B78, Independent_Contractor_Minutes, 'Physician Types'!$D$81)/INDEX(Physician_Type_Visit_Minutes,MATCH(August!B78,Physician_Type_Practice,0))</f>
        <v>0</v>
      </c>
      <c r="I78" s="43">
        <f t="shared" ref="I78:I110" si="10">H78*INDEX(Physician_Type_Visit_Minutes,MATCH(B78,Physician_Type_Practice,0))/INDEX(Physician_Type_FTE_Minutes,MATCH(B78,Physician_Type_Practice,0))</f>
        <v>0</v>
      </c>
      <c r="J78" s="10">
        <f>E78*'Physician Types'!$E$4</f>
        <v>330.74724956012682</v>
      </c>
      <c r="K78" s="10">
        <f t="shared" si="8"/>
        <v>0</v>
      </c>
    </row>
    <row r="79" spans="1:17" x14ac:dyDescent="0.2">
      <c r="A79" s="158"/>
      <c r="B79" s="102" t="s">
        <v>79</v>
      </c>
      <c r="C79" s="5">
        <f t="array" ref="C79">SUMIFS(Physician_Visit_August,Physician_Visit_Practice,August!B79,Physician_Visit_Hospitalists, "&lt;&gt;"&amp;'Physician Types'!$D$81)+SUMIFS(Physician_Visit_August,Physician_Visit_Practice,August!B79,Physician_Visit_Hospitalists,'Physician Types'!$D$81)*INDEX(Physician_Type_Hospitalists_Visit_Minutes,MATCH(August!B79,Physician_Type_Practice,0))/INDEX(Physician_Type_Visit_Minutes,MATCH(August!B79,Physician_Type_Practice,0)) +SUMIF(Physician_Minutes_Practice,August!B79,Physician_Minutes_August)/INDEX(Physician_Type_Visit_Minutes,MATCH(August!B79,Physician_Type_Practice,0))</f>
        <v>0</v>
      </c>
      <c r="D79" s="43">
        <f t="shared" si="9"/>
        <v>0</v>
      </c>
      <c r="E79" s="17">
        <f>INDEX(Physician_Type_Bed_Rate,MATCH(August!B79,Physician_Type_Practice,0))*'Hospital Input Page'!$C$4</f>
        <v>858.72891843072989</v>
      </c>
      <c r="F79" s="9">
        <f t="shared" si="7"/>
        <v>0</v>
      </c>
      <c r="H79" s="5">
        <f t="array" ref="H79">SUMIFS(Physician_Visit_August, Physician_Visit_Practice, August!B79, Independent_Contractor_Visits,  'Physician Types'!$D$81) + SUMIFS(Physician_Minutes_August,Physician_Minutes_Practice,August!B79, Independent_Contractor_Minutes, 'Physician Types'!$D$81)/INDEX(Physician_Type_Visit_Minutes,MATCH(August!B79,Physician_Type_Practice,0))</f>
        <v>0</v>
      </c>
      <c r="I79" s="43">
        <f t="shared" si="10"/>
        <v>0</v>
      </c>
      <c r="J79" s="10">
        <f>E79*'Physician Types'!$E$4</f>
        <v>25.761867552921895</v>
      </c>
      <c r="K79" s="10">
        <f t="shared" si="8"/>
        <v>0</v>
      </c>
    </row>
    <row r="80" spans="1:17" x14ac:dyDescent="0.2">
      <c r="A80" s="158">
        <v>5</v>
      </c>
      <c r="B80" s="102" t="s">
        <v>67</v>
      </c>
      <c r="C80" s="5">
        <f t="array" ref="C80">SUMIFS(Physician_Visit_August,Physician_Visit_Practice,August!B80,Physician_Visit_Hospitalists, "&lt;&gt;"&amp;'Physician Types'!$D$81)+SUMIFS(Physician_Visit_August,Physician_Visit_Practice,August!B80,Physician_Visit_Hospitalists,'Physician Types'!$D$81)*INDEX(Physician_Type_Hospitalists_Visit_Minutes,MATCH(August!B80,Physician_Type_Practice,0))/INDEX(Physician_Type_Visit_Minutes,MATCH(August!B80,Physician_Type_Practice,0)) +SUMIF(Physician_Minutes_Practice,August!B80,Physician_Minutes_August)/INDEX(Physician_Type_Visit_Minutes,MATCH(August!B80,Physician_Type_Practice,0))</f>
        <v>0</v>
      </c>
      <c r="D80" s="43">
        <f t="shared" si="9"/>
        <v>0</v>
      </c>
      <c r="E80" s="17">
        <f>INDEX(Physician_Type_Bed_Rate,MATCH(August!B80,Physician_Type_Practice,0))*'Hospital Input Page'!$C$4</f>
        <v>1955.5599460627077</v>
      </c>
      <c r="F80" s="9">
        <f t="shared" si="7"/>
        <v>0</v>
      </c>
      <c r="H80" s="5">
        <f t="array" ref="H80">SUMIFS(Physician_Visit_August, Physician_Visit_Practice, August!B80, Independent_Contractor_Visits,  'Physician Types'!$D$81) + SUMIFS(Physician_Minutes_August,Physician_Minutes_Practice,August!B80, Independent_Contractor_Minutes, 'Physician Types'!$D$81)/INDEX(Physician_Type_Visit_Minutes,MATCH(August!B80,Physician_Type_Practice,0))</f>
        <v>0</v>
      </c>
      <c r="I80" s="43">
        <f t="shared" si="10"/>
        <v>0</v>
      </c>
      <c r="J80" s="10">
        <f>E80*'Physician Types'!$E$4</f>
        <v>58.666798381881229</v>
      </c>
      <c r="K80" s="10">
        <f t="shared" si="8"/>
        <v>0</v>
      </c>
    </row>
    <row r="81" spans="1:11" x14ac:dyDescent="0.2">
      <c r="A81" s="158"/>
      <c r="B81" s="102" t="s">
        <v>80</v>
      </c>
      <c r="C81" s="5">
        <f t="array" ref="C81">SUMIFS(Physician_Visit_August,Physician_Visit_Practice,August!B81,Physician_Visit_Hospitalists, "&lt;&gt;"&amp;'Physician Types'!$D$81)+SUMIFS(Physician_Visit_August,Physician_Visit_Practice,August!B81,Physician_Visit_Hospitalists,'Physician Types'!$D$81)*INDEX(Physician_Type_Hospitalists_Visit_Minutes,MATCH(August!B81,Physician_Type_Practice,0))/INDEX(Physician_Type_Visit_Minutes,MATCH(August!B81,Physician_Type_Practice,0)) +SUMIF(Physician_Minutes_Practice,August!B81,Physician_Minutes_August)/INDEX(Physician_Type_Visit_Minutes,MATCH(August!B81,Physician_Type_Practice,0))</f>
        <v>0</v>
      </c>
      <c r="D81" s="43">
        <f t="shared" si="9"/>
        <v>0</v>
      </c>
      <c r="E81" s="17">
        <f>INDEX(Physician_Type_Bed_Rate,MATCH(August!B81,Physician_Type_Practice,0))*'Hospital Input Page'!$C$4</f>
        <v>493.76912809766964</v>
      </c>
      <c r="F81" s="9">
        <f t="shared" si="7"/>
        <v>0</v>
      </c>
      <c r="H81" s="5">
        <f t="array" ref="H81">SUMIFS(Physician_Visit_August, Physician_Visit_Practice, August!B81, Independent_Contractor_Visits,  'Physician Types'!$D$81) + SUMIFS(Physician_Minutes_August,Physician_Minutes_Practice,August!B81, Independent_Contractor_Minutes, 'Physician Types'!$D$81)/INDEX(Physician_Type_Visit_Minutes,MATCH(August!B81,Physician_Type_Practice,0))</f>
        <v>0</v>
      </c>
      <c r="I81" s="43">
        <f t="shared" si="10"/>
        <v>0</v>
      </c>
      <c r="J81" s="10">
        <f>E81*'Physician Types'!$E$4</f>
        <v>14.813073842930088</v>
      </c>
      <c r="K81" s="10">
        <f t="shared" si="8"/>
        <v>0</v>
      </c>
    </row>
    <row r="82" spans="1:11" x14ac:dyDescent="0.2">
      <c r="A82" s="158">
        <v>8</v>
      </c>
      <c r="B82" s="128" t="s">
        <v>139</v>
      </c>
      <c r="C82" s="5">
        <f t="array" ref="C82">SUMIFS(Physician_Visit_August,Physician_Visit_Practice,August!B82,Physician_Visit_Hospitalists, "&lt;&gt;"&amp;'Physician Types'!$D$81)+SUMIFS(Physician_Visit_August,Physician_Visit_Practice,August!B82,Physician_Visit_Hospitalists,'Physician Types'!$D$81)*INDEX(Physician_Type_Hospitalists_Visit_Minutes,MATCH(August!B82,Physician_Type_Practice,0))/INDEX(Physician_Type_Visit_Minutes,MATCH(August!B82,Physician_Type_Practice,0)) +SUMIF(Physician_Minutes_Practice,August!B82,Physician_Minutes_August)/INDEX(Physician_Type_Visit_Minutes,MATCH(August!B82,Physician_Type_Practice,0))</f>
        <v>0</v>
      </c>
      <c r="D82" s="43">
        <f t="shared" si="9"/>
        <v>0</v>
      </c>
      <c r="E82" s="17">
        <f>INDEX(Physician_Type_Bed_Rate,MATCH(August!B82,Physician_Type_Practice,0))*'Hospital Input Page'!$C$4</f>
        <v>8509.2229189954141</v>
      </c>
      <c r="F82" s="9">
        <f t="shared" si="7"/>
        <v>0</v>
      </c>
      <c r="H82" s="5">
        <f t="array" ref="H82">SUMIFS(Physician_Visit_August, Physician_Visit_Practice, August!B82, Independent_Contractor_Visits,  'Physician Types'!$D$81) + SUMIFS(Physician_Minutes_August,Physician_Minutes_Practice,August!B82, Independent_Contractor_Minutes, 'Physician Types'!$D$81)/INDEX(Physician_Type_Visit_Minutes,MATCH(August!B82,Physician_Type_Practice,0))</f>
        <v>0</v>
      </c>
      <c r="I82" s="43">
        <f t="shared" si="10"/>
        <v>0</v>
      </c>
      <c r="J82" s="10">
        <f>E82*'Physician Types'!$E$4</f>
        <v>255.27668756986242</v>
      </c>
      <c r="K82" s="10">
        <f t="shared" si="8"/>
        <v>0</v>
      </c>
    </row>
    <row r="83" spans="1:11" x14ac:dyDescent="0.2">
      <c r="A83" s="158">
        <v>8</v>
      </c>
      <c r="B83" s="102" t="s">
        <v>78</v>
      </c>
      <c r="C83" s="5">
        <f t="array" ref="C83">SUMIFS(Physician_Visit_August,Physician_Visit_Practice,August!B83,Physician_Visit_Hospitalists, "&lt;&gt;"&amp;'Physician Types'!$D$81)+SUMIFS(Physician_Visit_August,Physician_Visit_Practice,August!B83,Physician_Visit_Hospitalists,'Physician Types'!$D$81)*INDEX(Physician_Type_Hospitalists_Visit_Minutes,MATCH(August!B83,Physician_Type_Practice,0))/INDEX(Physician_Type_Visit_Minutes,MATCH(August!B83,Physician_Type_Practice,0)) +SUMIF(Physician_Minutes_Practice,August!B83,Physician_Minutes_August)/INDEX(Physician_Type_Visit_Minutes,MATCH(August!B83,Physician_Type_Practice,0))</f>
        <v>0</v>
      </c>
      <c r="D83" s="43">
        <f t="shared" si="9"/>
        <v>0</v>
      </c>
      <c r="E83" s="17">
        <f>INDEX(Physician_Type_Bed_Rate,MATCH(August!B83,Physician_Type_Practice,0))*'Hospital Input Page'!$C$4</f>
        <v>8509.2229189954141</v>
      </c>
      <c r="F83" s="9">
        <f t="shared" si="7"/>
        <v>0</v>
      </c>
      <c r="H83" s="5">
        <f t="array" ref="H83">SUMIFS(Physician_Visit_August, Physician_Visit_Practice, August!B83, Independent_Contractor_Visits,  'Physician Types'!$D$81) + SUMIFS(Physician_Minutes_August,Physician_Minutes_Practice,August!B83, Independent_Contractor_Minutes, 'Physician Types'!$D$81)/INDEX(Physician_Type_Visit_Minutes,MATCH(August!B83,Physician_Type_Practice,0))</f>
        <v>0</v>
      </c>
      <c r="I83" s="43">
        <f t="shared" si="10"/>
        <v>0</v>
      </c>
      <c r="J83" s="10">
        <f>E83*'Physician Types'!$E$4</f>
        <v>255.27668756986242</v>
      </c>
      <c r="K83" s="10">
        <f t="shared" si="8"/>
        <v>0</v>
      </c>
    </row>
    <row r="84" spans="1:11" x14ac:dyDescent="0.2">
      <c r="A84" s="158">
        <v>2</v>
      </c>
      <c r="B84" s="107" t="s">
        <v>47</v>
      </c>
      <c r="C84" s="5">
        <f t="array" ref="C84">SUMIFS(Physician_Visit_August,Physician_Visit_Practice,August!B84,Physician_Visit_Hospitalists, "&lt;&gt;"&amp;'Physician Types'!$D$81)+SUMIFS(Physician_Visit_August,Physician_Visit_Practice,August!B84,Physician_Visit_Hospitalists,'Physician Types'!$D$81)*INDEX(Physician_Type_Hospitalists_Visit_Minutes,MATCH(August!B84,Physician_Type_Practice,0))/INDEX(Physician_Type_Visit_Minutes,MATCH(August!B84,Physician_Type_Practice,0)) +SUMIF(Physician_Minutes_Practice,August!B84,Physician_Minutes_August)/INDEX(Physician_Type_Visit_Minutes,MATCH(August!B84,Physician_Type_Practice,0))</f>
        <v>0</v>
      </c>
      <c r="D84" s="43">
        <f t="shared" si="9"/>
        <v>0</v>
      </c>
      <c r="E84" s="17">
        <f>INDEX(Physician_Type_Bed_Rate,MATCH(August!B84,Physician_Type_Practice,0))*'Hospital Input Page'!$C$4</f>
        <v>1727.2161200254454</v>
      </c>
      <c r="F84" s="9">
        <f t="shared" si="7"/>
        <v>0</v>
      </c>
      <c r="H84" s="5">
        <f t="array" ref="H84">SUMIFS(Physician_Visit_August, Physician_Visit_Practice, August!B84, Independent_Contractor_Visits,  'Physician Types'!$D$81) + SUMIFS(Physician_Minutes_August,Physician_Minutes_Practice,August!B84, Independent_Contractor_Minutes, 'Physician Types'!$D$81)/INDEX(Physician_Type_Visit_Minutes,MATCH(August!B84,Physician_Type_Practice,0))</f>
        <v>0</v>
      </c>
      <c r="I84" s="43">
        <f t="shared" si="10"/>
        <v>0</v>
      </c>
      <c r="J84" s="10">
        <f>E84*'Physician Types'!$E$4</f>
        <v>51.816483600763362</v>
      </c>
      <c r="K84" s="10">
        <f t="shared" si="8"/>
        <v>0</v>
      </c>
    </row>
    <row r="85" spans="1:11" x14ac:dyDescent="0.2">
      <c r="A85" s="158">
        <v>3</v>
      </c>
      <c r="B85" s="102" t="s">
        <v>56</v>
      </c>
      <c r="C85" s="5">
        <f t="array" ref="C85">SUMIFS(Physician_Visit_August,Physician_Visit_Practice,August!B85,Physician_Visit_Hospitalists, "&lt;&gt;"&amp;'Physician Types'!$D$81)+SUMIFS(Physician_Visit_August,Physician_Visit_Practice,August!B85,Physician_Visit_Hospitalists,'Physician Types'!$D$81)*INDEX(Physician_Type_Hospitalists_Visit_Minutes,MATCH(August!B85,Physician_Type_Practice,0))/INDEX(Physician_Type_Visit_Minutes,MATCH(August!B85,Physician_Type_Practice,0)) +SUMIF(Physician_Minutes_Practice,August!B85,Physician_Minutes_August)/INDEX(Physician_Type_Visit_Minutes,MATCH(August!B85,Physician_Type_Practice,0))</f>
        <v>0</v>
      </c>
      <c r="D85" s="43">
        <f t="shared" si="9"/>
        <v>0</v>
      </c>
      <c r="E85" s="17">
        <f>INDEX(Physician_Type_Bed_Rate,MATCH(August!B85,Physician_Type_Practice,0))*'Hospital Input Page'!$C$4</f>
        <v>1842.3638613604746</v>
      </c>
      <c r="F85" s="9">
        <f t="shared" si="7"/>
        <v>0</v>
      </c>
      <c r="H85" s="5">
        <f t="array" ref="H85">SUMIFS(Physician_Visit_August, Physician_Visit_Practice, August!B85, Independent_Contractor_Visits,  'Physician Types'!$D$81) + SUMIFS(Physician_Minutes_August,Physician_Minutes_Practice,August!B85, Independent_Contractor_Minutes, 'Physician Types'!$D$81)/INDEX(Physician_Type_Visit_Minutes,MATCH(August!B85,Physician_Type_Practice,0))</f>
        <v>0</v>
      </c>
      <c r="I85" s="43">
        <f t="shared" si="10"/>
        <v>0</v>
      </c>
      <c r="J85" s="10">
        <f>E85*'Physician Types'!$E$4</f>
        <v>55.27091584081424</v>
      </c>
      <c r="K85" s="10">
        <f t="shared" si="8"/>
        <v>0</v>
      </c>
    </row>
    <row r="86" spans="1:11" x14ac:dyDescent="0.2">
      <c r="A86" s="158">
        <v>3</v>
      </c>
      <c r="B86" s="102" t="s">
        <v>57</v>
      </c>
      <c r="C86" s="5">
        <f t="array" ref="C86">SUMIFS(Physician_Visit_August,Physician_Visit_Practice,August!B86,Physician_Visit_Hospitalists, "&lt;&gt;"&amp;'Physician Types'!$D$81)+SUMIFS(Physician_Visit_August,Physician_Visit_Practice,August!B86,Physician_Visit_Hospitalists,'Physician Types'!$D$81)*INDEX(Physician_Type_Hospitalists_Visit_Minutes,MATCH(August!B86,Physician_Type_Practice,0))/INDEX(Physician_Type_Visit_Minutes,MATCH(August!B86,Physician_Type_Practice,0)) +SUMIF(Physician_Minutes_Practice,August!B86,Physician_Minutes_August)/INDEX(Physician_Type_Visit_Minutes,MATCH(August!B86,Physician_Type_Practice,0))</f>
        <v>0</v>
      </c>
      <c r="D86" s="43">
        <f t="shared" si="9"/>
        <v>0</v>
      </c>
      <c r="E86" s="17">
        <f>INDEX(Physician_Type_Bed_Rate,MATCH(August!B86,Physician_Type_Practice,0))*'Hospital Input Page'!$C$4</f>
        <v>1165.1390097798767</v>
      </c>
      <c r="F86" s="9">
        <f t="shared" si="7"/>
        <v>0</v>
      </c>
      <c r="H86" s="5">
        <f t="array" ref="H86">SUMIFS(Physician_Visit_August, Physician_Visit_Practice, August!B86, Independent_Contractor_Visits,  'Physician Types'!$D$81) + SUMIFS(Physician_Minutes_August,Physician_Minutes_Practice,August!B86, Independent_Contractor_Minutes, 'Physician Types'!$D$81)/INDEX(Physician_Type_Visit_Minutes,MATCH(August!B86,Physician_Type_Practice,0))</f>
        <v>0</v>
      </c>
      <c r="I86" s="43">
        <f t="shared" si="10"/>
        <v>0</v>
      </c>
      <c r="J86" s="10">
        <f>E86*'Physician Types'!$E$4</f>
        <v>34.954170293396302</v>
      </c>
      <c r="K86" s="10">
        <f t="shared" si="8"/>
        <v>0</v>
      </c>
    </row>
    <row r="87" spans="1:11" x14ac:dyDescent="0.2">
      <c r="A87" s="158">
        <v>3</v>
      </c>
      <c r="B87" s="102" t="s">
        <v>58</v>
      </c>
      <c r="C87" s="5">
        <f t="array" ref="C87">SUMIFS(Physician_Visit_August,Physician_Visit_Practice,August!B87,Physician_Visit_Hospitalists, "&lt;&gt;"&amp;'Physician Types'!$D$81)+SUMIFS(Physician_Visit_August,Physician_Visit_Practice,August!B87,Physician_Visit_Hospitalists,'Physician Types'!$D$81)*INDEX(Physician_Type_Hospitalists_Visit_Minutes,MATCH(August!B87,Physician_Type_Practice,0))/INDEX(Physician_Type_Visit_Minutes,MATCH(August!B87,Physician_Type_Practice,0)) +SUMIF(Physician_Minutes_Practice,August!B87,Physician_Minutes_August)/INDEX(Physician_Type_Visit_Minutes,MATCH(August!B87,Physician_Type_Practice,0))</f>
        <v>0</v>
      </c>
      <c r="D87" s="43">
        <f t="shared" si="9"/>
        <v>0</v>
      </c>
      <c r="E87" s="17">
        <f>INDEX(Physician_Type_Bed_Rate,MATCH(August!B87,Physician_Type_Practice,0))*'Hospital Input Page'!$C$4</f>
        <v>2406.3926282388406</v>
      </c>
      <c r="F87" s="9">
        <f t="shared" si="7"/>
        <v>0</v>
      </c>
      <c r="H87" s="5">
        <f t="array" ref="H87">SUMIFS(Physician_Visit_August, Physician_Visit_Practice, August!B87, Independent_Contractor_Visits,  'Physician Types'!$D$81) + SUMIFS(Physician_Minutes_August,Physician_Minutes_Practice,August!B87, Independent_Contractor_Minutes, 'Physician Types'!$D$81)/INDEX(Physician_Type_Visit_Minutes,MATCH(August!B87,Physician_Type_Practice,0))</f>
        <v>0</v>
      </c>
      <c r="I87" s="43">
        <f t="shared" si="10"/>
        <v>0</v>
      </c>
      <c r="J87" s="10">
        <f>E87*'Physician Types'!$E$4</f>
        <v>72.19177884716521</v>
      </c>
      <c r="K87" s="10">
        <f t="shared" si="8"/>
        <v>0</v>
      </c>
    </row>
    <row r="88" spans="1:11" x14ac:dyDescent="0.2">
      <c r="A88" s="158">
        <v>7</v>
      </c>
      <c r="B88" s="102" t="s">
        <v>73</v>
      </c>
      <c r="C88" s="5">
        <f t="array" ref="C88">SUMIFS(Physician_Visit_August,Physician_Visit_Practice,August!B88,Physician_Visit_Hospitalists, "&lt;&gt;"&amp;'Physician Types'!$D$81)+SUMIFS(Physician_Visit_August,Physician_Visit_Practice,August!B88,Physician_Visit_Hospitalists,'Physician Types'!$D$81)*INDEX(Physician_Type_Hospitalists_Visit_Minutes,MATCH(August!B88,Physician_Type_Practice,0))/INDEX(Physician_Type_Visit_Minutes,MATCH(August!B88,Physician_Type_Practice,0)) +SUMIF(Physician_Minutes_Practice,August!B88,Physician_Minutes_August)/INDEX(Physician_Type_Visit_Minutes,MATCH(August!B88,Physician_Type_Practice,0))</f>
        <v>0</v>
      </c>
      <c r="D88" s="43">
        <f t="shared" si="9"/>
        <v>0</v>
      </c>
      <c r="E88" s="17">
        <f>INDEX(Physician_Type_Bed_Rate,MATCH(August!B88,Physician_Type_Practice,0))*'Hospital Input Page'!$C$4</f>
        <v>7172.3381255293916</v>
      </c>
      <c r="F88" s="9">
        <f t="shared" si="7"/>
        <v>0</v>
      </c>
      <c r="H88" s="5">
        <f t="array" ref="H88">SUMIFS(Physician_Visit_August, Physician_Visit_Practice, August!B88, Independent_Contractor_Visits,  'Physician Types'!$D$81) + SUMIFS(Physician_Minutes_August,Physician_Minutes_Practice,August!B88, Independent_Contractor_Minutes, 'Physician Types'!$D$81)/INDEX(Physician_Type_Visit_Minutes,MATCH(August!B88,Physician_Type_Practice,0))</f>
        <v>0</v>
      </c>
      <c r="I88" s="43">
        <f t="shared" si="10"/>
        <v>0</v>
      </c>
      <c r="J88" s="10">
        <f>E88*'Physician Types'!$E$4</f>
        <v>215.17014376588173</v>
      </c>
      <c r="K88" s="10">
        <f t="shared" si="8"/>
        <v>0</v>
      </c>
    </row>
    <row r="89" spans="1:11" x14ac:dyDescent="0.2">
      <c r="A89" s="158">
        <v>7</v>
      </c>
      <c r="B89" s="128" t="s">
        <v>74</v>
      </c>
      <c r="C89" s="5">
        <f t="array" ref="C89">SUMIFS(Physician_Visit_August,Physician_Visit_Practice,August!B89,Physician_Visit_Hospitalists, "&lt;&gt;"&amp;'Physician Types'!$D$81)+SUMIFS(Physician_Visit_August,Physician_Visit_Practice,August!B89,Physician_Visit_Hospitalists,'Physician Types'!$D$81)*INDEX(Physician_Type_Hospitalists_Visit_Minutes,MATCH(August!B89,Physician_Type_Practice,0))/INDEX(Physician_Type_Visit_Minutes,MATCH(August!B89,Physician_Type_Practice,0)) +SUMIF(Physician_Minutes_Practice,August!B89,Physician_Minutes_August)/INDEX(Physician_Type_Visit_Minutes,MATCH(August!B89,Physician_Type_Practice,0))</f>
        <v>0</v>
      </c>
      <c r="D89" s="43">
        <f t="shared" si="9"/>
        <v>0</v>
      </c>
      <c r="E89" s="17">
        <f>INDEX(Physician_Type_Bed_Rate,MATCH(August!B89,Physician_Type_Practice,0))*'Hospital Input Page'!$C$4</f>
        <v>4073.1073926475756</v>
      </c>
      <c r="F89" s="9">
        <f t="shared" si="7"/>
        <v>0</v>
      </c>
      <c r="H89" s="5">
        <f t="array" ref="H89">SUMIFS(Physician_Visit_August, Physician_Visit_Practice, August!B89, Independent_Contractor_Visits,  'Physician Types'!$D$81) + SUMIFS(Physician_Minutes_August,Physician_Minutes_Practice,August!B89, Independent_Contractor_Minutes, 'Physician Types'!$D$81)/INDEX(Physician_Type_Visit_Minutes,MATCH(August!B89,Physician_Type_Practice,0))</f>
        <v>0</v>
      </c>
      <c r="I89" s="43">
        <f t="shared" si="10"/>
        <v>0</v>
      </c>
      <c r="J89" s="10">
        <f>E89*'Physician Types'!$E$4</f>
        <v>122.19322177942726</v>
      </c>
      <c r="K89" s="10">
        <f t="shared" si="8"/>
        <v>0</v>
      </c>
    </row>
    <row r="90" spans="1:11" x14ac:dyDescent="0.2">
      <c r="A90" s="158">
        <v>4</v>
      </c>
      <c r="B90" s="128" t="s">
        <v>146</v>
      </c>
      <c r="C90" s="5">
        <f t="array" ref="C90">SUMIFS(Physician_Visit_August,Physician_Visit_Practice,August!B90,Physician_Visit_Hospitalists, "&lt;&gt;"&amp;'Physician Types'!$D$81)+SUMIFS(Physician_Visit_August,Physician_Visit_Practice,August!B90,Physician_Visit_Hospitalists,'Physician Types'!$D$81)*INDEX(Physician_Type_Hospitalists_Visit_Minutes,MATCH(August!B90,Physician_Type_Practice,0))/INDEX(Physician_Type_Visit_Minutes,MATCH(August!B90,Physician_Type_Practice,0)) +SUMIF(Physician_Minutes_Practice,August!B90,Physician_Minutes_August)/INDEX(Physician_Type_Visit_Minutes,MATCH(August!B90,Physician_Type_Practice,0))</f>
        <v>0</v>
      </c>
      <c r="D90" s="43">
        <f t="shared" si="9"/>
        <v>0</v>
      </c>
      <c r="E90" s="17">
        <f>INDEX(Physician_Type_Bed_Rate,MATCH(August!B90,Physician_Type_Practice,0))*'Hospital Input Page'!$C$4</f>
        <v>2997.7445879763663</v>
      </c>
      <c r="F90" s="9">
        <f t="shared" si="7"/>
        <v>0</v>
      </c>
      <c r="H90" s="5">
        <f t="array" ref="H90">SUMIFS(Physician_Visit_August, Physician_Visit_Practice, August!B90, Independent_Contractor_Visits,  'Physician Types'!$D$81) + SUMIFS(Physician_Minutes_August,Physician_Minutes_Practice,August!B90, Independent_Contractor_Minutes, 'Physician Types'!$D$81)/INDEX(Physician_Type_Visit_Minutes,MATCH(August!B90,Physician_Type_Practice,0))</f>
        <v>0</v>
      </c>
      <c r="I90" s="43">
        <f t="shared" si="10"/>
        <v>0</v>
      </c>
      <c r="J90" s="10">
        <f>E90*'Physician Types'!$E$4</f>
        <v>89.932337639290992</v>
      </c>
      <c r="K90" s="10">
        <f t="shared" si="8"/>
        <v>0</v>
      </c>
    </row>
    <row r="91" spans="1:11" x14ac:dyDescent="0.2">
      <c r="A91" s="158">
        <v>6</v>
      </c>
      <c r="B91" s="128" t="s">
        <v>71</v>
      </c>
      <c r="C91" s="5">
        <f t="array" ref="C91">SUMIFS(Physician_Visit_August,Physician_Visit_Practice,August!B91,Physician_Visit_Hospitalists, "&lt;&gt;"&amp;'Physician Types'!$D$81)+SUMIFS(Physician_Visit_August,Physician_Visit_Practice,August!B91,Physician_Visit_Hospitalists,'Physician Types'!$D$81)*INDEX(Physician_Type_Hospitalists_Visit_Minutes,MATCH(August!B91,Physician_Type_Practice,0))/INDEX(Physician_Type_Visit_Minutes,MATCH(August!B91,Physician_Type_Practice,0)) +SUMIF(Physician_Minutes_Practice,August!B91,Physician_Minutes_August)/INDEX(Physician_Type_Visit_Minutes,MATCH(August!B91,Physician_Type_Practice,0))</f>
        <v>0</v>
      </c>
      <c r="D91" s="43">
        <f t="shared" si="9"/>
        <v>0</v>
      </c>
      <c r="E91" s="17">
        <f>INDEX(Physician_Type_Bed_Rate,MATCH(August!B91,Physician_Type_Practice,0))*'Hospital Input Page'!$C$4</f>
        <v>4912.3197447503335</v>
      </c>
      <c r="F91" s="9">
        <f t="shared" si="7"/>
        <v>0</v>
      </c>
      <c r="H91" s="5">
        <f t="array" ref="H91">SUMIFS(Physician_Visit_August, Physician_Visit_Practice, August!B91, Independent_Contractor_Visits,  'Physician Types'!$D$81) + SUMIFS(Physician_Minutes_August,Physician_Minutes_Practice,August!B91, Independent_Contractor_Minutes, 'Physician Types'!$D$81)/INDEX(Physician_Type_Visit_Minutes,MATCH(August!B91,Physician_Type_Practice,0))</f>
        <v>0</v>
      </c>
      <c r="I91" s="43">
        <f t="shared" si="10"/>
        <v>0</v>
      </c>
      <c r="J91" s="10">
        <f>E91*'Physician Types'!$E$4</f>
        <v>147.36959234251</v>
      </c>
      <c r="K91" s="10">
        <f t="shared" si="8"/>
        <v>0</v>
      </c>
    </row>
    <row r="92" spans="1:11" x14ac:dyDescent="0.2">
      <c r="A92" s="158">
        <v>4</v>
      </c>
      <c r="B92" s="128" t="s">
        <v>152</v>
      </c>
      <c r="C92" s="5">
        <f t="array" ref="C92">SUMIFS(Physician_Visit_August,Physician_Visit_Practice,August!B92,Physician_Visit_Hospitalists, "&lt;&gt;"&amp;'Physician Types'!$D$81)+SUMIFS(Physician_Visit_August,Physician_Visit_Practice,August!B92,Physician_Visit_Hospitalists,'Physician Types'!$D$81)*INDEX(Physician_Type_Hospitalists_Visit_Minutes,MATCH(August!B92,Physician_Type_Practice,0))/INDEX(Physician_Type_Visit_Minutes,MATCH(August!B92,Physician_Type_Practice,0)) +SUMIF(Physician_Minutes_Practice,August!B92,Physician_Minutes_August)/INDEX(Physician_Type_Visit_Minutes,MATCH(August!B92,Physician_Type_Practice,0))</f>
        <v>0</v>
      </c>
      <c r="D92" s="43">
        <f t="shared" si="9"/>
        <v>0</v>
      </c>
      <c r="E92" s="17">
        <f>IFERROR(INDEX(Physician_Type_Bed_Rate,MATCH(August!B92,Physician_Type_Practice,0))*'Hospital Input Page'!$C$4,0)</f>
        <v>2664.0113037680594</v>
      </c>
      <c r="F92" s="9">
        <f t="shared" si="7"/>
        <v>0</v>
      </c>
      <c r="H92" s="5">
        <f t="array" ref="H92">SUMIFS(Physician_Visit_August, Physician_Visit_Practice, August!B92, Independent_Contractor_Visits,  'Physician Types'!$D$81) + SUMIFS(Physician_Minutes_August,Physician_Minutes_Practice,August!B92, Independent_Contractor_Minutes, 'Physician Types'!$D$81)/INDEX(Physician_Type_Visit_Minutes,MATCH(August!B92,Physician_Type_Practice,0))</f>
        <v>0</v>
      </c>
      <c r="I92" s="43">
        <f t="shared" si="10"/>
        <v>0</v>
      </c>
      <c r="J92" s="10">
        <f>E92*'Physician Types'!$E$4</f>
        <v>79.920339113041777</v>
      </c>
      <c r="K92" s="10">
        <f t="shared" si="8"/>
        <v>0</v>
      </c>
    </row>
    <row r="93" spans="1:11" x14ac:dyDescent="0.2">
      <c r="A93" s="158">
        <v>1</v>
      </c>
      <c r="B93" s="107" t="s">
        <v>30</v>
      </c>
      <c r="C93" s="5">
        <f t="array" ref="C93">SUMIFS(Physician_Visit_August,Physician_Visit_Practice,August!B93,Physician_Visit_Hospitalists, "&lt;&gt;"&amp;'Physician Types'!$D$81)+SUMIFS(Physician_Visit_August,Physician_Visit_Practice,August!B93,Physician_Visit_Hospitalists,'Physician Types'!$D$81)*INDEX(Physician_Type_Hospitalists_Visit_Minutes,MATCH(August!B93,Physician_Type_Practice,0))/INDEX(Physician_Type_Visit_Minutes,MATCH(August!B93,Physician_Type_Practice,0)) +SUMIF(Physician_Minutes_Practice,August!B93,Physician_Minutes_August)/INDEX(Physician_Type_Visit_Minutes,MATCH(August!B93,Physician_Type_Practice,0))</f>
        <v>0</v>
      </c>
      <c r="D93" s="43">
        <f t="shared" si="9"/>
        <v>0</v>
      </c>
      <c r="E93" s="17">
        <f>INDEX(Physician_Type_Bed_Rate,MATCH(August!B93,Physician_Type_Practice,0))*'Hospital Input Page'!$C$4</f>
        <v>2544.9602491674359</v>
      </c>
      <c r="F93" s="9">
        <f t="shared" si="7"/>
        <v>0</v>
      </c>
      <c r="H93" s="5">
        <f t="array" ref="H93">SUMIFS(Physician_Visit_August, Physician_Visit_Practice, August!B93, Independent_Contractor_Visits,  'Physician Types'!$D$81) + SUMIFS(Physician_Minutes_August,Physician_Minutes_Practice,August!B93, Independent_Contractor_Minutes, 'Physician Types'!$D$81)/INDEX(Physician_Type_Visit_Minutes,MATCH(August!B93,Physician_Type_Practice,0))</f>
        <v>0</v>
      </c>
      <c r="I93" s="43">
        <f t="shared" si="10"/>
        <v>0</v>
      </c>
      <c r="J93" s="10">
        <f>E93*'Physician Types'!$E$4</f>
        <v>76.348807475023079</v>
      </c>
      <c r="K93" s="10">
        <f t="shared" si="8"/>
        <v>0</v>
      </c>
    </row>
    <row r="94" spans="1:11" x14ac:dyDescent="0.2">
      <c r="A94" s="158">
        <v>1</v>
      </c>
      <c r="B94" s="107" t="s">
        <v>31</v>
      </c>
      <c r="C94" s="5">
        <f t="array" ref="C94">SUMIFS(Physician_Visit_August,Physician_Visit_Practice,August!B94,Physician_Visit_Hospitalists, "&lt;&gt;"&amp;'Physician Types'!$D$81)+SUMIFS(Physician_Visit_August,Physician_Visit_Practice,August!B94,Physician_Visit_Hospitalists,'Physician Types'!$D$81)*INDEX(Physician_Type_Hospitalists_Visit_Minutes,MATCH(August!B94,Physician_Type_Practice,0))/INDEX(Physician_Type_Visit_Minutes,MATCH(August!B94,Physician_Type_Practice,0)) +SUMIF(Physician_Minutes_Practice,August!B94,Physician_Minutes_August)/INDEX(Physician_Type_Visit_Minutes,MATCH(August!B94,Physician_Type_Practice,0))</f>
        <v>0</v>
      </c>
      <c r="D94" s="43">
        <f t="shared" si="9"/>
        <v>0</v>
      </c>
      <c r="E94" s="17">
        <f>INDEX(Physician_Type_Bed_Rate,MATCH(August!B94,Physician_Type_Practice,0))*'Hospital Input Page'!$C$4</f>
        <v>1258.818528154138</v>
      </c>
      <c r="F94" s="9">
        <f t="shared" si="7"/>
        <v>0</v>
      </c>
      <c r="H94" s="5">
        <f t="array" ref="H94">SUMIFS(Physician_Visit_August, Physician_Visit_Practice, August!B94, Independent_Contractor_Visits,  'Physician Types'!$D$81) + SUMIFS(Physician_Minutes_August,Physician_Minutes_Practice,August!B94, Independent_Contractor_Minutes, 'Physician Types'!$D$81)/INDEX(Physician_Type_Visit_Minutes,MATCH(August!B94,Physician_Type_Practice,0))</f>
        <v>0</v>
      </c>
      <c r="I94" s="43">
        <f t="shared" si="10"/>
        <v>0</v>
      </c>
      <c r="J94" s="10">
        <f>E94*'Physician Types'!$E$4</f>
        <v>37.764555844624141</v>
      </c>
      <c r="K94" s="10">
        <f t="shared" si="8"/>
        <v>0</v>
      </c>
    </row>
    <row r="95" spans="1:11" x14ac:dyDescent="0.2">
      <c r="A95" s="158">
        <v>2</v>
      </c>
      <c r="B95" s="107" t="s">
        <v>48</v>
      </c>
      <c r="C95" s="5">
        <f t="array" ref="C95">SUMIFS(Physician_Visit_August,Physician_Visit_Practice,August!B95,Physician_Visit_Hospitalists, "&lt;&gt;"&amp;'Physician Types'!$D$81)+SUMIFS(Physician_Visit_August,Physician_Visit_Practice,August!B95,Physician_Visit_Hospitalists,'Physician Types'!$D$81)*INDEX(Physician_Type_Hospitalists_Visit_Minutes,MATCH(August!B95,Physician_Type_Practice,0))/INDEX(Physician_Type_Visit_Minutes,MATCH(August!B95,Physician_Type_Practice,0)) +SUMIF(Physician_Minutes_Practice,August!B95,Physician_Minutes_August)/INDEX(Physician_Type_Visit_Minutes,MATCH(August!B95,Physician_Type_Practice,0))</f>
        <v>0</v>
      </c>
      <c r="D95" s="43">
        <f t="shared" ref="D95" si="11">C95*INDEX(Physician_Type_Visit_Minutes,MATCH(B95,Physician_Type_Practice,0))/INDEX(Physician_Type_FTE_Minutes,MATCH(B95,Physician_Type_Practice,0))</f>
        <v>0</v>
      </c>
      <c r="E95" s="17">
        <f>INDEX(Physician_Type_Bed_Rate,MATCH(August!B95,Physician_Type_Practice,0))*'Hospital Input Page'!$C$4</f>
        <v>2336.1329894581445</v>
      </c>
      <c r="F95" s="9">
        <f t="shared" ref="F95" si="12">D95*E95</f>
        <v>0</v>
      </c>
      <c r="H95" s="5">
        <f t="array" ref="H95">SUMIFS(Physician_Visit_August, Physician_Visit_Practice, August!B95, Independent_Contractor_Visits,  'Physician Types'!$D$81) + SUMIFS(Physician_Minutes_August,Physician_Minutes_Practice,August!B95, Independent_Contractor_Minutes, 'Physician Types'!$D$81)/INDEX(Physician_Type_Visit_Minutes,MATCH(August!B95,Physician_Type_Practice,0))</f>
        <v>0</v>
      </c>
      <c r="I95" s="43">
        <f t="shared" ref="I95" si="13">H95*INDEX(Physician_Type_Visit_Minutes,MATCH(B95,Physician_Type_Practice,0))/INDEX(Physician_Type_FTE_Minutes,MATCH(B95,Physician_Type_Practice,0))</f>
        <v>0</v>
      </c>
      <c r="J95" s="10">
        <f>E95*'Physician Types'!$E$4</f>
        <v>70.083989683744335</v>
      </c>
      <c r="K95" s="10">
        <f t="shared" ref="K95" si="14">I95*J95</f>
        <v>0</v>
      </c>
    </row>
    <row r="96" spans="1:11" x14ac:dyDescent="0.2">
      <c r="A96" s="158">
        <v>2</v>
      </c>
      <c r="B96" s="107" t="s">
        <v>49</v>
      </c>
      <c r="C96" s="5">
        <f t="array" ref="C96">SUMIFS(Physician_Visit_August,Physician_Visit_Practice,August!B96,Physician_Visit_Hospitalists, "&lt;&gt;"&amp;'Physician Types'!$D$81)+SUMIFS(Physician_Visit_August,Physician_Visit_Practice,August!B96,Physician_Visit_Hospitalists,'Physician Types'!$D$81)*INDEX(Physician_Type_Hospitalists_Visit_Minutes,MATCH(August!B96,Physician_Type_Practice,0))/INDEX(Physician_Type_Visit_Minutes,MATCH(August!B96,Physician_Type_Practice,0)) +SUMIF(Physician_Minutes_Practice,August!B96,Physician_Minutes_August)/INDEX(Physician_Type_Visit_Minutes,MATCH(August!B96,Physician_Type_Practice,0))</f>
        <v>0</v>
      </c>
      <c r="D96" s="43">
        <f t="shared" si="9"/>
        <v>0</v>
      </c>
      <c r="E96" s="17">
        <f>INDEX(Physician_Type_Bed_Rate,MATCH(August!B96,Physician_Type_Practice,0))*'Hospital Input Page'!$C$4</f>
        <v>1727.2161200254454</v>
      </c>
      <c r="F96" s="9">
        <f t="shared" si="7"/>
        <v>0</v>
      </c>
      <c r="H96" s="5">
        <f t="array" ref="H96">SUMIFS(Physician_Visit_August, Physician_Visit_Practice, August!B96, Independent_Contractor_Visits,  'Physician Types'!$D$81) + SUMIFS(Physician_Minutes_August,Physician_Minutes_Practice,August!B96, Independent_Contractor_Minutes, 'Physician Types'!$D$81)/INDEX(Physician_Type_Visit_Minutes,MATCH(August!B96,Physician_Type_Practice,0))</f>
        <v>0</v>
      </c>
      <c r="I96" s="43">
        <f t="shared" si="10"/>
        <v>0</v>
      </c>
      <c r="J96" s="10">
        <f>E96*'Physician Types'!$E$4</f>
        <v>51.816483600763362</v>
      </c>
      <c r="K96" s="10">
        <f t="shared" si="8"/>
        <v>0</v>
      </c>
    </row>
    <row r="97" spans="1:11" x14ac:dyDescent="0.2">
      <c r="A97" s="158">
        <v>1</v>
      </c>
      <c r="B97" s="107" t="s">
        <v>32</v>
      </c>
      <c r="C97" s="5">
        <f t="array" ref="C97">SUMIFS(Physician_Visit_August,Physician_Visit_Practice,August!B97,Physician_Visit_Hospitalists, "&lt;&gt;"&amp;'Physician Types'!$D$81)+SUMIFS(Physician_Visit_August,Physician_Visit_Practice,August!B97,Physician_Visit_Hospitalists,'Physician Types'!$D$81)*INDEX(Physician_Type_Hospitalists_Visit_Minutes,MATCH(August!B97,Physician_Type_Practice,0))/INDEX(Physician_Type_Visit_Minutes,MATCH(August!B97,Physician_Type_Practice,0)) +SUMIF(Physician_Minutes_Practice,August!B97,Physician_Minutes_August)/INDEX(Physician_Type_Visit_Minutes,MATCH(August!B97,Physician_Type_Practice,0))</f>
        <v>0</v>
      </c>
      <c r="D97" s="43">
        <f t="shared" si="9"/>
        <v>0</v>
      </c>
      <c r="E97" s="17">
        <f>INDEX(Physician_Type_Bed_Rate,MATCH(August!B97,Physician_Type_Practice,0))*'Hospital Input Page'!$C$4</f>
        <v>1297.8516608100804</v>
      </c>
      <c r="F97" s="9">
        <f t="shared" si="7"/>
        <v>0</v>
      </c>
      <c r="H97" s="5">
        <f t="array" ref="H97">SUMIFS(Physician_Visit_August, Physician_Visit_Practice, August!B97, Independent_Contractor_Visits,  'Physician Types'!$D$81) + SUMIFS(Physician_Minutes_August,Physician_Minutes_Practice,August!B97, Independent_Contractor_Minutes, 'Physician Types'!$D$81)/INDEX(Physician_Type_Visit_Minutes,MATCH(August!B97,Physician_Type_Practice,0))</f>
        <v>0</v>
      </c>
      <c r="I97" s="43">
        <f t="shared" si="10"/>
        <v>0</v>
      </c>
      <c r="J97" s="10">
        <f>E97*'Physician Types'!$E$4</f>
        <v>38.935549824302413</v>
      </c>
      <c r="K97" s="10">
        <f t="shared" si="8"/>
        <v>0</v>
      </c>
    </row>
    <row r="98" spans="1:11" x14ac:dyDescent="0.2">
      <c r="A98" s="158"/>
      <c r="B98" s="102" t="s">
        <v>20</v>
      </c>
      <c r="C98" s="5">
        <f t="array" ref="C98">SUMIFS(Physician_Visit_August,Physician_Visit_Practice,August!B98,Physician_Visit_Hospitalists, "&lt;&gt;"&amp;'Physician Types'!$D$81)+SUMIFS(Physician_Visit_August,Physician_Visit_Practice,August!B98,Physician_Visit_Hospitalists,'Physician Types'!$D$81)*INDEX(Physician_Type_Hospitalists_Visit_Minutes,MATCH(August!B98,Physician_Type_Practice,0))/INDEX(Physician_Type_Visit_Minutes,MATCH(August!B98,Physician_Type_Practice,0)) +SUMIF(Physician_Minutes_Practice,August!B98,Physician_Minutes_August)/INDEX(Physician_Type_Visit_Minutes,MATCH(August!B98,Physician_Type_Practice,0))</f>
        <v>554</v>
      </c>
      <c r="D98" s="43">
        <f t="shared" si="9"/>
        <v>1.0654051039443064</v>
      </c>
      <c r="E98" s="17">
        <f>INDEX(Physician_Type_Bed_Rate,MATCH(August!B98,Physician_Type_Practice,0))*'Hospital Input Page'!$C$4</f>
        <v>493.76912809766964</v>
      </c>
      <c r="F98" s="9">
        <f t="shared" si="7"/>
        <v>526.06414924538728</v>
      </c>
      <c r="H98" s="5">
        <f t="array" ref="H98">SUMIFS(Physician_Visit_August, Physician_Visit_Practice, August!B98, Independent_Contractor_Visits,  'Physician Types'!$D$81) + SUMIFS(Physician_Minutes_August,Physician_Minutes_Practice,August!B98, Independent_Contractor_Minutes, 'Physician Types'!$D$81)/INDEX(Physician_Type_Visit_Minutes,MATCH(August!B98,Physician_Type_Practice,0))</f>
        <v>0</v>
      </c>
      <c r="I98" s="43">
        <f t="shared" si="10"/>
        <v>0</v>
      </c>
      <c r="J98" s="10">
        <f>E98*'Physician Types'!$E$4</f>
        <v>14.813073842930088</v>
      </c>
      <c r="K98" s="10">
        <f t="shared" si="8"/>
        <v>0</v>
      </c>
    </row>
    <row r="99" spans="1:11" x14ac:dyDescent="0.2">
      <c r="A99" s="158">
        <v>1</v>
      </c>
      <c r="B99" s="107" t="s">
        <v>33</v>
      </c>
      <c r="C99" s="5">
        <f t="array" ref="C99">SUMIFS(Physician_Visit_August,Physician_Visit_Practice,August!B99,Physician_Visit_Hospitalists, "&lt;&gt;"&amp;'Physician Types'!$D$81)+SUMIFS(Physician_Visit_August,Physician_Visit_Practice,August!B99,Physician_Visit_Hospitalists,'Physician Types'!$D$81)*INDEX(Physician_Type_Hospitalists_Visit_Minutes,MATCH(August!B99,Physician_Type_Practice,0))/INDEX(Physician_Type_Visit_Minutes,MATCH(August!B99,Physician_Type_Practice,0)) +SUMIF(Physician_Minutes_Practice,August!B99,Physician_Minutes_August)/INDEX(Physician_Type_Visit_Minutes,MATCH(August!B99,Physician_Type_Practice,0))</f>
        <v>0</v>
      </c>
      <c r="D99" s="43">
        <f t="shared" si="9"/>
        <v>0</v>
      </c>
      <c r="E99" s="17">
        <f>INDEX(Physician_Type_Bed_Rate,MATCH(August!B99,Physician_Type_Practice,0))*'Hospital Input Page'!$C$4</f>
        <v>1268.5768113181236</v>
      </c>
      <c r="F99" s="9">
        <f t="shared" si="7"/>
        <v>0</v>
      </c>
      <c r="H99" s="5">
        <f t="array" ref="H99">SUMIFS(Physician_Visit_August, Physician_Visit_Practice, August!B99, Independent_Contractor_Visits,  'Physician Types'!$D$81) + SUMIFS(Physician_Minutes_August,Physician_Minutes_Practice,August!B99, Independent_Contractor_Minutes, 'Physician Types'!$D$81)/INDEX(Physician_Type_Visit_Minutes,MATCH(August!B99,Physician_Type_Practice,0))</f>
        <v>0</v>
      </c>
      <c r="I99" s="43">
        <f t="shared" si="10"/>
        <v>0</v>
      </c>
      <c r="J99" s="10">
        <f>E99*'Physician Types'!$E$4</f>
        <v>38.057304339543705</v>
      </c>
      <c r="K99" s="10">
        <f t="shared" si="8"/>
        <v>0</v>
      </c>
    </row>
    <row r="100" spans="1:11" x14ac:dyDescent="0.2">
      <c r="A100" s="158">
        <v>2</v>
      </c>
      <c r="B100" s="107" t="s">
        <v>50</v>
      </c>
      <c r="C100" s="5">
        <f t="array" ref="C100">SUMIFS(Physician_Visit_August,Physician_Visit_Practice,August!B100,Physician_Visit_Hospitalists, "&lt;&gt;"&amp;'Physician Types'!$D$81)+SUMIFS(Physician_Visit_August,Physician_Visit_Practice,August!B100,Physician_Visit_Hospitalists,'Physician Types'!$D$81)*INDEX(Physician_Type_Hospitalists_Visit_Minutes,MATCH(August!B100,Physician_Type_Practice,0))/INDEX(Physician_Type_Visit_Minutes,MATCH(August!B100,Physician_Type_Practice,0)) +SUMIF(Physician_Minutes_Practice,August!B100,Physician_Minutes_August)/INDEX(Physician_Type_Visit_Minutes,MATCH(August!B100,Physician_Type_Practice,0))</f>
        <v>0</v>
      </c>
      <c r="D100" s="43">
        <f t="shared" si="9"/>
        <v>0</v>
      </c>
      <c r="E100" s="17">
        <f>INDEX(Physician_Type_Bed_Rate,MATCH(August!B100,Physician_Type_Practice,0))*'Hospital Input Page'!$C$4</f>
        <v>2529.3469961050587</v>
      </c>
      <c r="F100" s="9">
        <f t="shared" si="7"/>
        <v>0</v>
      </c>
      <c r="H100" s="5">
        <f t="array" ref="H100">SUMIFS(Physician_Visit_August, Physician_Visit_Practice, August!B100, Independent_Contractor_Visits,  'Physician Types'!$D$81) + SUMIFS(Physician_Minutes_August,Physician_Minutes_Practice,August!B100, Independent_Contractor_Minutes, 'Physician Types'!$D$81)/INDEX(Physician_Type_Visit_Minutes,MATCH(August!B100,Physician_Type_Practice,0))</f>
        <v>0</v>
      </c>
      <c r="I100" s="43">
        <f t="shared" si="10"/>
        <v>0</v>
      </c>
      <c r="J100" s="10">
        <f>E100*'Physician Types'!$E$4</f>
        <v>75.880409883151756</v>
      </c>
      <c r="K100" s="10">
        <f t="shared" si="8"/>
        <v>0</v>
      </c>
    </row>
    <row r="101" spans="1:11" x14ac:dyDescent="0.2">
      <c r="A101" s="158">
        <v>2</v>
      </c>
      <c r="B101" s="107" t="s">
        <v>51</v>
      </c>
      <c r="C101" s="5">
        <f t="array" ref="C101">SUMIFS(Physician_Visit_August,Physician_Visit_Practice,August!B101,Physician_Visit_Hospitalists, "&lt;&gt;"&amp;'Physician Types'!$D$81)+SUMIFS(Physician_Visit_August,Physician_Visit_Practice,August!B101,Physician_Visit_Hospitalists,'Physician Types'!$D$81)*INDEX(Physician_Type_Hospitalists_Visit_Minutes,MATCH(August!B101,Physician_Type_Practice,0))/INDEX(Physician_Type_Visit_Minutes,MATCH(August!B101,Physician_Type_Practice,0)) +SUMIF(Physician_Minutes_Practice,August!B101,Physician_Minutes_August)/INDEX(Physician_Type_Visit_Minutes,MATCH(August!B101,Physician_Type_Practice,0))</f>
        <v>0</v>
      </c>
      <c r="D101" s="43">
        <f t="shared" si="9"/>
        <v>0</v>
      </c>
      <c r="E101" s="17">
        <f>INDEX(Physician_Type_Bed_Rate,MATCH(August!B101,Physician_Type_Practice,0))*'Hospital Input Page'!$C$4</f>
        <v>1887.2519639148086</v>
      </c>
      <c r="F101" s="9">
        <f t="shared" si="7"/>
        <v>0</v>
      </c>
      <c r="H101" s="5">
        <f t="array" ref="H101">SUMIFS(Physician_Visit_August, Physician_Visit_Practice, August!B101, Independent_Contractor_Visits,  'Physician Types'!$D$81) + SUMIFS(Physician_Minutes_August,Physician_Minutes_Practice,August!B101, Independent_Contractor_Minutes, 'Physician Types'!$D$81)/INDEX(Physician_Type_Visit_Minutes,MATCH(August!B101,Physician_Type_Practice,0))</f>
        <v>0</v>
      </c>
      <c r="I101" s="43">
        <f t="shared" si="10"/>
        <v>0</v>
      </c>
      <c r="J101" s="10">
        <f>E101*'Physician Types'!$E$4</f>
        <v>56.617558917444256</v>
      </c>
      <c r="K101" s="10">
        <f t="shared" si="8"/>
        <v>0</v>
      </c>
    </row>
    <row r="102" spans="1:11" x14ac:dyDescent="0.2">
      <c r="A102" s="158">
        <v>2</v>
      </c>
      <c r="B102" s="107" t="s">
        <v>52</v>
      </c>
      <c r="C102" s="5">
        <f t="array" ref="C102">SUMIFS(Physician_Visit_August,Physician_Visit_Practice,August!B102,Physician_Visit_Hospitalists, "&lt;&gt;"&amp;'Physician Types'!$D$81)+SUMIFS(Physician_Visit_August,Physician_Visit_Practice,August!B102,Physician_Visit_Hospitalists,'Physician Types'!$D$81)*INDEX(Physician_Type_Hospitalists_Visit_Minutes,MATCH(August!B102,Physician_Type_Practice,0))/INDEX(Physician_Type_Visit_Minutes,MATCH(August!B102,Physician_Type_Practice,0)) +SUMIF(Physician_Minutes_Practice,August!B102,Physician_Minutes_August)/INDEX(Physician_Type_Visit_Minutes,MATCH(August!B102,Physician_Type_Practice,0))</f>
        <v>0</v>
      </c>
      <c r="D102" s="43">
        <f t="shared" si="9"/>
        <v>0</v>
      </c>
      <c r="E102" s="17">
        <f>INDEX(Physician_Type_Bed_Rate,MATCH(August!B102,Physician_Type_Practice,0))*'Hospital Input Page'!$C$4</f>
        <v>2088.2725970929114</v>
      </c>
      <c r="F102" s="9">
        <f t="shared" si="7"/>
        <v>0</v>
      </c>
      <c r="H102" s="5">
        <f t="array" ref="H102">SUMIFS(Physician_Visit_August, Physician_Visit_Practice, August!B102, Independent_Contractor_Visits,  'Physician Types'!$D$81) + SUMIFS(Physician_Minutes_August,Physician_Minutes_Practice,August!B102, Independent_Contractor_Minutes, 'Physician Types'!$D$81)/INDEX(Physician_Type_Visit_Minutes,MATCH(August!B102,Physician_Type_Practice,0))</f>
        <v>0</v>
      </c>
      <c r="I102" s="43">
        <f t="shared" si="10"/>
        <v>0</v>
      </c>
      <c r="J102" s="10">
        <f>E102*'Physician Types'!$E$4</f>
        <v>62.648177912787339</v>
      </c>
      <c r="K102" s="10">
        <f t="shared" si="8"/>
        <v>0</v>
      </c>
    </row>
    <row r="103" spans="1:11" x14ac:dyDescent="0.2">
      <c r="A103" s="158">
        <v>4</v>
      </c>
      <c r="B103" s="107" t="s">
        <v>52</v>
      </c>
      <c r="C103" s="5">
        <f t="array" ref="C103">SUMIFS(Physician_Visit_August,Physician_Visit_Practice,August!B103,Physician_Visit_Hospitalists, "&lt;&gt;"&amp;'Physician Types'!$D$81)+SUMIFS(Physician_Visit_August,Physician_Visit_Practice,August!B103,Physician_Visit_Hospitalists,'Physician Types'!$D$81)*INDEX(Physician_Type_Hospitalists_Visit_Minutes,MATCH(August!B103,Physician_Type_Practice,0))/INDEX(Physician_Type_Visit_Minutes,MATCH(August!B103,Physician_Type_Practice,0)) +SUMIF(Physician_Minutes_Practice,August!B103,Physician_Minutes_August)/INDEX(Physician_Type_Visit_Minutes,MATCH(August!B103,Physician_Type_Practice,0))</f>
        <v>0</v>
      </c>
      <c r="D103" s="43">
        <f t="shared" si="9"/>
        <v>0</v>
      </c>
      <c r="E103" s="17">
        <f>INDEX(Physician_Type_Bed_Rate,MATCH(August!B103,Physician_Type_Practice,0))*'Hospital Input Page'!$C$4</f>
        <v>2088.2725970929114</v>
      </c>
      <c r="F103" s="9">
        <f t="shared" si="7"/>
        <v>0</v>
      </c>
      <c r="H103" s="5">
        <f t="array" ref="H103">SUMIFS(Physician_Visit_August, Physician_Visit_Practice, August!B103, Independent_Contractor_Visits,  'Physician Types'!$D$81) + SUMIFS(Physician_Minutes_August,Physician_Minutes_Practice,August!B103, Independent_Contractor_Minutes, 'Physician Types'!$D$81)/INDEX(Physician_Type_Visit_Minutes,MATCH(August!B103,Physician_Type_Practice,0))</f>
        <v>0</v>
      </c>
      <c r="I103" s="43">
        <f t="shared" si="10"/>
        <v>0</v>
      </c>
      <c r="J103" s="10">
        <f>E103*'Physician Types'!$E$4</f>
        <v>62.648177912787339</v>
      </c>
      <c r="K103" s="10">
        <f t="shared" si="8"/>
        <v>0</v>
      </c>
    </row>
    <row r="104" spans="1:11" x14ac:dyDescent="0.2">
      <c r="A104" s="158">
        <v>5</v>
      </c>
      <c r="B104" s="102" t="s">
        <v>68</v>
      </c>
      <c r="C104" s="5">
        <f t="array" ref="C104">SUMIFS(Physician_Visit_August,Physician_Visit_Practice,August!B104,Physician_Visit_Hospitalists, "&lt;&gt;"&amp;'Physician Types'!$D$81)+SUMIFS(Physician_Visit_August,Physician_Visit_Practice,August!B104,Physician_Visit_Hospitalists,'Physician Types'!$D$81)*INDEX(Physician_Type_Hospitalists_Visit_Minutes,MATCH(August!B104,Physician_Type_Practice,0))/INDEX(Physician_Type_Visit_Minutes,MATCH(August!B104,Physician_Type_Practice,0)) +SUMIF(Physician_Minutes_Practice,August!B104,Physician_Minutes_August)/INDEX(Physician_Type_Visit_Minutes,MATCH(August!B104,Physician_Type_Practice,0))</f>
        <v>0</v>
      </c>
      <c r="D104" s="43">
        <f t="shared" si="9"/>
        <v>0</v>
      </c>
      <c r="E104" s="17">
        <f>INDEX(Physician_Type_Bed_Rate,MATCH(August!B104,Physician_Type_Practice,0))*'Hospital Input Page'!$C$4</f>
        <v>2708.8994063223927</v>
      </c>
      <c r="F104" s="9">
        <f t="shared" si="7"/>
        <v>0</v>
      </c>
      <c r="H104" s="5">
        <f t="array" ref="H104">SUMIFS(Physician_Visit_August, Physician_Visit_Practice, August!B104, Independent_Contractor_Visits,  'Physician Types'!$D$81) + SUMIFS(Physician_Minutes_August,Physician_Minutes_Practice,August!B104, Independent_Contractor_Minutes, 'Physician Types'!$D$81)/INDEX(Physician_Type_Visit_Minutes,MATCH(August!B104,Physician_Type_Practice,0))</f>
        <v>0</v>
      </c>
      <c r="I104" s="43">
        <f t="shared" si="10"/>
        <v>0</v>
      </c>
      <c r="J104" s="10">
        <f>E104*'Physician Types'!$E$4</f>
        <v>81.266982189671779</v>
      </c>
      <c r="K104" s="10">
        <f t="shared" si="8"/>
        <v>0</v>
      </c>
    </row>
    <row r="105" spans="1:11" x14ac:dyDescent="0.2">
      <c r="A105" s="158">
        <v>2</v>
      </c>
      <c r="B105" s="107" t="s">
        <v>53</v>
      </c>
      <c r="C105" s="5">
        <f t="array" ref="C105">SUMIFS(Physician_Visit_August,Physician_Visit_Practice,August!B105,Physician_Visit_Hospitalists, "&lt;&gt;"&amp;'Physician Types'!$D$81)+SUMIFS(Physician_Visit_August,Physician_Visit_Practice,August!B105,Physician_Visit_Hospitalists,'Physician Types'!$D$81)*INDEX(Physician_Type_Hospitalists_Visit_Minutes,MATCH(August!B105,Physician_Type_Practice,0))/INDEX(Physician_Type_Visit_Minutes,MATCH(August!B105,Physician_Type_Practice,0)) +SUMIF(Physician_Minutes_Practice,August!B105,Physician_Minutes_August)/INDEX(Physician_Type_Visit_Minutes,MATCH(August!B105,Physician_Type_Practice,0))</f>
        <v>0</v>
      </c>
      <c r="D105" s="43">
        <f t="shared" si="9"/>
        <v>0</v>
      </c>
      <c r="E105" s="17">
        <f>INDEX(Physician_Type_Bed_Rate,MATCH(August!B105,Physician_Type_Practice,0))*'Hospital Input Page'!$C$4</f>
        <v>1619.8750052216039</v>
      </c>
      <c r="F105" s="9">
        <f t="shared" si="7"/>
        <v>0</v>
      </c>
      <c r="H105" s="5">
        <f t="array" ref="H105">SUMIFS(Physician_Visit_August, Physician_Visit_Practice, August!B105, Independent_Contractor_Visits,  'Physician Types'!$D$81) + SUMIFS(Physician_Minutes_August,Physician_Minutes_Practice,August!B105, Independent_Contractor_Minutes, 'Physician Types'!$D$81)/INDEX(Physician_Type_Visit_Minutes,MATCH(August!B105,Physician_Type_Practice,0))</f>
        <v>0</v>
      </c>
      <c r="I105" s="43">
        <f t="shared" si="10"/>
        <v>0</v>
      </c>
      <c r="J105" s="10">
        <f>E105*'Physician Types'!$E$4</f>
        <v>48.596250156648118</v>
      </c>
      <c r="K105" s="10">
        <f t="shared" si="8"/>
        <v>0</v>
      </c>
    </row>
    <row r="106" spans="1:11" x14ac:dyDescent="0.2">
      <c r="A106" s="158">
        <v>3</v>
      </c>
      <c r="B106" s="102" t="s">
        <v>59</v>
      </c>
      <c r="C106" s="5">
        <f t="array" ref="C106">SUMIFS(Physician_Visit_August,Physician_Visit_Practice,August!B106,Physician_Visit_Hospitalists, "&lt;&gt;"&amp;'Physician Types'!$D$81)+SUMIFS(Physician_Visit_August,Physician_Visit_Practice,August!B106,Physician_Visit_Hospitalists,'Physician Types'!$D$81)*INDEX(Physician_Type_Hospitalists_Visit_Minutes,MATCH(August!B106,Physician_Type_Practice,0))/INDEX(Physician_Type_Visit_Minutes,MATCH(August!B106,Physician_Type_Practice,0)) +SUMIF(Physician_Minutes_Practice,August!B106,Physician_Minutes_August)/INDEX(Physician_Type_Visit_Minutes,MATCH(August!B106,Physician_Type_Practice,0))</f>
        <v>0</v>
      </c>
      <c r="D106" s="43">
        <f t="shared" si="9"/>
        <v>0</v>
      </c>
      <c r="E106" s="17">
        <f>INDEX(Physician_Type_Bed_Rate,MATCH(August!B106,Physician_Type_Practice,0))*'Hospital Input Page'!$C$4</f>
        <v>380.57304339543714</v>
      </c>
      <c r="F106" s="9">
        <f t="shared" si="7"/>
        <v>0</v>
      </c>
      <c r="H106" s="5">
        <f t="array" ref="H106">SUMIFS(Physician_Visit_August, Physician_Visit_Practice, August!B106, Independent_Contractor_Visits,  'Physician Types'!$D$81) + SUMIFS(Physician_Minutes_August,Physician_Minutes_Practice,August!B106, Independent_Contractor_Minutes, 'Physician Types'!$D$81)/INDEX(Physician_Type_Visit_Minutes,MATCH(August!B106,Physician_Type_Practice,0))</f>
        <v>0</v>
      </c>
      <c r="I106" s="43">
        <f t="shared" si="10"/>
        <v>0</v>
      </c>
      <c r="J106" s="10">
        <f>E106*'Physician Types'!$E$4</f>
        <v>11.417191301863113</v>
      </c>
      <c r="K106" s="10">
        <f t="shared" si="8"/>
        <v>0</v>
      </c>
    </row>
    <row r="107" spans="1:11" x14ac:dyDescent="0.2">
      <c r="A107" s="158">
        <v>7</v>
      </c>
      <c r="B107" s="102" t="s">
        <v>75</v>
      </c>
      <c r="C107" s="5">
        <f t="array" ref="C107">SUMIFS(Physician_Visit_August,Physician_Visit_Practice,August!B107,Physician_Visit_Hospitalists, "&lt;&gt;"&amp;'Physician Types'!$D$81)+SUMIFS(Physician_Visit_August,Physician_Visit_Practice,August!B107,Physician_Visit_Hospitalists,'Physician Types'!$D$81)*INDEX(Physician_Type_Hospitalists_Visit_Minutes,MATCH(August!B107,Physician_Type_Practice,0))/INDEX(Physician_Type_Visit_Minutes,MATCH(August!B107,Physician_Type_Practice,0)) +SUMIF(Physician_Minutes_Practice,August!B107,Physician_Minutes_August)/INDEX(Physician_Type_Visit_Minutes,MATCH(August!B107,Physician_Type_Practice,0))</f>
        <v>0</v>
      </c>
      <c r="D107" s="43">
        <f t="shared" si="9"/>
        <v>0</v>
      </c>
      <c r="E107" s="17">
        <f>INDEX(Physician_Type_Bed_Rate,MATCH(August!B107,Physician_Type_Practice,0))*'Hospital Input Page'!$C$4</f>
        <v>7974.4690016090053</v>
      </c>
      <c r="F107" s="9">
        <f t="shared" si="7"/>
        <v>0</v>
      </c>
      <c r="H107" s="5">
        <f t="array" ref="H107">SUMIFS(Physician_Visit_August, Physician_Visit_Practice, August!B107, Independent_Contractor_Visits,  'Physician Types'!$D$81) + SUMIFS(Physician_Minutes_August,Physician_Minutes_Practice,August!B107, Independent_Contractor_Minutes, 'Physician Types'!$D$81)/INDEX(Physician_Type_Visit_Minutes,MATCH(August!B107,Physician_Type_Practice,0))</f>
        <v>0</v>
      </c>
      <c r="I107" s="43">
        <f t="shared" si="10"/>
        <v>0</v>
      </c>
      <c r="J107" s="10">
        <f>E107*'Physician Types'!$E$4</f>
        <v>239.23407004827015</v>
      </c>
      <c r="K107" s="10">
        <f t="shared" si="8"/>
        <v>0</v>
      </c>
    </row>
    <row r="108" spans="1:11" x14ac:dyDescent="0.2">
      <c r="A108" s="158">
        <v>4</v>
      </c>
      <c r="B108" s="128" t="s">
        <v>140</v>
      </c>
      <c r="C108" s="5">
        <f t="array" ref="C108">SUMIFS(Physician_Visit_August,Physician_Visit_Practice,August!B108,Physician_Visit_Hospitalists, "&lt;&gt;"&amp;'Physician Types'!$D$81)+SUMIFS(Physician_Visit_August,Physician_Visit_Practice,August!B108,Physician_Visit_Hospitalists,'Physician Types'!$D$81)*INDEX(Physician_Type_Hospitalists_Visit_Minutes,MATCH(August!B108,Physician_Type_Practice,0))/INDEX(Physician_Type_Visit_Minutes,MATCH(August!B108,Physician_Type_Practice,0)) +SUMIF(Physician_Minutes_Practice,August!B108,Physician_Minutes_August)/INDEX(Physician_Type_Visit_Minutes,MATCH(August!B108,Physician_Type_Practice,0))</f>
        <v>0</v>
      </c>
      <c r="D108" s="43">
        <f t="shared" si="9"/>
        <v>0</v>
      </c>
      <c r="E108" s="17">
        <f>INDEX(Physician_Type_Bed_Rate,MATCH(August!B108,Physician_Type_Practice,0))*'Hospital Input Page'!$C$4</f>
        <v>3159.7320884985265</v>
      </c>
      <c r="F108" s="9">
        <f t="shared" si="7"/>
        <v>0</v>
      </c>
      <c r="H108" s="5">
        <f t="array" ref="H108">SUMIFS(Physician_Visit_August, Physician_Visit_Practice, August!B108, Independent_Contractor_Visits,  'Physician Types'!$D$81) + SUMIFS(Physician_Minutes_August,Physician_Minutes_Practice,August!B108, Independent_Contractor_Minutes, 'Physician Types'!$D$81)/INDEX(Physician_Type_Visit_Minutes,MATCH(August!B108,Physician_Type_Practice,0))</f>
        <v>0</v>
      </c>
      <c r="I108" s="43">
        <f t="shared" si="10"/>
        <v>0</v>
      </c>
      <c r="J108" s="10">
        <f>E108*'Physician Types'!$E$4</f>
        <v>94.791962654955796</v>
      </c>
      <c r="K108" s="10">
        <f t="shared" si="8"/>
        <v>0</v>
      </c>
    </row>
    <row r="109" spans="1:11" x14ac:dyDescent="0.2">
      <c r="A109" s="158">
        <v>7</v>
      </c>
      <c r="B109" s="102" t="s">
        <v>76</v>
      </c>
      <c r="C109" s="5">
        <f t="array" ref="C109">SUMIFS(Physician_Visit_August,Physician_Visit_Practice,August!B109,Physician_Visit_Hospitalists, "&lt;&gt;"&amp;'Physician Types'!$D$81)+SUMIFS(Physician_Visit_August,Physician_Visit_Practice,August!B109,Physician_Visit_Hospitalists,'Physician Types'!$D$81)*INDEX(Physician_Type_Hospitalists_Visit_Minutes,MATCH(August!B109,Physician_Type_Practice,0))/INDEX(Physician_Type_Visit_Minutes,MATCH(August!B109,Physician_Type_Practice,0)) +SUMIF(Physician_Minutes_Practice,August!B109,Physician_Minutes_August)/INDEX(Physician_Type_Visit_Minutes,MATCH(August!B109,Physician_Type_Practice,0))</f>
        <v>0</v>
      </c>
      <c r="D109" s="43">
        <f t="shared" si="9"/>
        <v>0</v>
      </c>
      <c r="E109" s="17">
        <f>INDEX(Physician_Type_Bed_Rate,MATCH(August!B109,Physician_Type_Practice,0))*'Hospital Input Page'!$C$4</f>
        <v>7709.0436995485979</v>
      </c>
      <c r="F109" s="9">
        <f t="shared" si="7"/>
        <v>0</v>
      </c>
      <c r="H109" s="5">
        <f t="array" ref="H109">SUMIFS(Physician_Visit_August, Physician_Visit_Practice, August!B109, Independent_Contractor_Visits,  'Physician Types'!$D$81) + SUMIFS(Physician_Minutes_August,Physician_Minutes_Practice,August!B109, Independent_Contractor_Minutes, 'Physician Types'!$D$81)/INDEX(Physician_Type_Visit_Minutes,MATCH(August!B109,Physician_Type_Practice,0))</f>
        <v>0</v>
      </c>
      <c r="I109" s="43">
        <f t="shared" si="10"/>
        <v>0</v>
      </c>
      <c r="J109" s="10">
        <f>E109*'Physician Types'!$E$4</f>
        <v>231.27131098645793</v>
      </c>
      <c r="K109" s="10">
        <f t="shared" si="8"/>
        <v>0</v>
      </c>
    </row>
    <row r="110" spans="1:11" x14ac:dyDescent="0.2">
      <c r="A110" s="102"/>
      <c r="B110" s="164" t="s">
        <v>156</v>
      </c>
      <c r="C110" s="5" t="e">
        <f t="array" ref="C110">SUMIFS(Physician_Visit_August,Physician_Visit_Practice,August!B110,Physician_Visit_Hospitalists, "&lt;&gt;"&amp;'Physician Types'!$D$81)+SUMIFS(Physician_Visit_August,Physician_Visit_Practice,August!B110,Physician_Visit_Hospitalists,'Physician Types'!$D$81)*INDEX(Physician_Type_Hospitalists_Visit_Minutes,MATCH(August!B110,Physician_Type_Practice,0))/INDEX(Physician_Type_Visit_Minutes,MATCH(August!B110,Physician_Type_Practice,0)) +SUMIF(Physician_Minutes_Practice,August!B110,Physician_Minutes_August)/INDEX(Physician_Type_Visit_Minutes,MATCH(August!B110,Physician_Type_Practice,0))</f>
        <v>#REF!</v>
      </c>
      <c r="D110" s="43" t="e">
        <f t="shared" si="9"/>
        <v>#REF!</v>
      </c>
      <c r="E110" s="17" t="e">
        <f>INDEX(Physician_Type_Bed_Rate,MATCH(August!B110,Physician_Type_Practice,0))*'Hospital Input Page'!$C$4</f>
        <v>#REF!</v>
      </c>
      <c r="F110" s="9" t="e">
        <f t="shared" si="7"/>
        <v>#REF!</v>
      </c>
      <c r="H110" s="5" t="e">
        <f t="array" ref="H110">SUMIFS(Physician_Visit_August, Physician_Visit_Practice, August!B110, Independent_Contractor_Visits,  'Physician Types'!$D$81) + SUMIFS(Physician_Minutes_August,Physician_Minutes_Practice,August!B110, Independent_Contractor_Minutes, 'Physician Types'!$D$81)/INDEX(Physician_Type_Visit_Minutes,MATCH(August!B110,Physician_Type_Practice,0))</f>
        <v>#REF!</v>
      </c>
      <c r="I110" s="43" t="e">
        <f t="shared" si="10"/>
        <v>#REF!</v>
      </c>
      <c r="J110" s="10" t="e">
        <f>E110*'Physician Types'!$E$4</f>
        <v>#REF!</v>
      </c>
      <c r="K110" s="10" t="e">
        <f t="shared" si="8"/>
        <v>#REF!</v>
      </c>
    </row>
    <row r="111" spans="1:11" x14ac:dyDescent="0.2">
      <c r="A111" s="102"/>
      <c r="B111" s="164" t="s">
        <v>156</v>
      </c>
      <c r="C111" s="5" t="e">
        <f t="array" ref="C111">SUMIFS(Physician_Visit_August,Physician_Visit_Practice,August!B111,Physician_Visit_Hospitalists, "&lt;&gt;"&amp;'Physician Types'!$D$81)+SUMIFS(Physician_Visit_August,Physician_Visit_Practice,August!B111,Physician_Visit_Hospitalists,'Physician Types'!$D$81)*INDEX(Physician_Type_Hospitalists_Visit_Minutes,MATCH(August!B111,Physician_Type_Practice,0))/INDEX(Physician_Type_Visit_Minutes,MATCH(August!B111,Physician_Type_Practice,0)) +SUMIF(Physician_Minutes_Practice,August!B111,Physician_Minutes_August)/INDEX(Physician_Type_Visit_Minutes,MATCH(August!B111,Physician_Type_Practice,0))</f>
        <v>#REF!</v>
      </c>
      <c r="D111" s="43" t="e">
        <f t="shared" ref="D111:D112" si="15">C111*INDEX(Physician_Type_Visit_Minutes,MATCH(B111,Physician_Type_Practice,0))/INDEX(Physician_Type_FTE_Minutes,MATCH(B111,Physician_Type_Practice,0))</f>
        <v>#REF!</v>
      </c>
      <c r="E111" s="17" t="e">
        <f>INDEX(Physician_Type_Bed_Rate,MATCH(August!B111,Physician_Type_Practice,0))*'Hospital Input Page'!$C$4</f>
        <v>#REF!</v>
      </c>
      <c r="F111" s="9" t="e">
        <f t="shared" si="7"/>
        <v>#REF!</v>
      </c>
      <c r="H111" s="5" t="e">
        <f t="array" ref="H111">SUMIFS(Physician_Visit_August, Physician_Visit_Practice, August!B111, Independent_Contractor_Visits,  'Physician Types'!$D$81) + SUMIFS(Physician_Minutes_August,Physician_Minutes_Practice,August!B111, Independent_Contractor_Minutes, 'Physician Types'!$D$81)/INDEX(Physician_Type_Visit_Minutes,MATCH(August!B111,Physician_Type_Practice,0))</f>
        <v>#REF!</v>
      </c>
      <c r="I111" s="43" t="e">
        <f t="shared" ref="I111:I112" si="16">H111*INDEX(Physician_Type_Visit_Minutes,MATCH(B111,Physician_Type_Practice,0))/INDEX(Physician_Type_FTE_Minutes,MATCH(B111,Physician_Type_Practice,0))</f>
        <v>#REF!</v>
      </c>
      <c r="J111" s="10" t="e">
        <f>E111*'Physician Types'!$E$4</f>
        <v>#REF!</v>
      </c>
      <c r="K111" s="10" t="e">
        <f t="shared" si="8"/>
        <v>#REF!</v>
      </c>
    </row>
    <row r="112" spans="1:11" x14ac:dyDescent="0.2">
      <c r="A112" s="102"/>
      <c r="B112" s="164" t="s">
        <v>156</v>
      </c>
      <c r="C112" s="5" t="e">
        <f t="array" ref="C112">SUMIFS(Physician_Visit_August,Physician_Visit_Practice,August!B112,Physician_Visit_Hospitalists, "&lt;&gt;"&amp;'Physician Types'!$D$81)+SUMIFS(Physician_Visit_August,Physician_Visit_Practice,August!B112,Physician_Visit_Hospitalists,'Physician Types'!$D$81)*INDEX(Physician_Type_Hospitalists_Visit_Minutes,MATCH(August!B112,Physician_Type_Practice,0))/INDEX(Physician_Type_Visit_Minutes,MATCH(August!B112,Physician_Type_Practice,0)) +SUMIF(Physician_Minutes_Practice,August!B112,Physician_Minutes_August)/INDEX(Physician_Type_Visit_Minutes,MATCH(August!B112,Physician_Type_Practice,0))</f>
        <v>#REF!</v>
      </c>
      <c r="D112" s="43" t="e">
        <f t="shared" si="15"/>
        <v>#REF!</v>
      </c>
      <c r="E112" s="17" t="e">
        <f>INDEX(Physician_Type_Bed_Rate,MATCH(August!B112,Physician_Type_Practice,0))*'Hospital Input Page'!$C$4</f>
        <v>#REF!</v>
      </c>
      <c r="F112" s="9" t="e">
        <f t="shared" ref="F112" si="17">D112*E112</f>
        <v>#REF!</v>
      </c>
      <c r="H112" s="5" t="e">
        <f t="array" ref="H112">SUMIFS(Physician_Visit_August, Physician_Visit_Practice, August!B112, Independent_Contractor_Visits,  'Physician Types'!$D$81) + SUMIFS(Physician_Minutes_August,Physician_Minutes_Practice,August!B112, Independent_Contractor_Minutes, 'Physician Types'!$D$81)/INDEX(Physician_Type_Visit_Minutes,MATCH(August!B112,Physician_Type_Practice,0))</f>
        <v>#REF!</v>
      </c>
      <c r="I112" s="43" t="e">
        <f t="shared" si="16"/>
        <v>#REF!</v>
      </c>
      <c r="J112" s="10" t="e">
        <f>E112*'Physician Types'!$E$4</f>
        <v>#REF!</v>
      </c>
      <c r="K112" s="10" t="e">
        <f t="shared" ref="K112" si="18">I112*J112</f>
        <v>#REF!</v>
      </c>
    </row>
    <row r="113" spans="1:11" x14ac:dyDescent="0.2">
      <c r="A113" s="102"/>
      <c r="B113" s="164" t="s">
        <v>156</v>
      </c>
      <c r="C113" s="5" t="e">
        <f t="array" ref="C113">SUMIFS(Physician_Visit_August,Physician_Visit_Practice,August!B113,Physician_Visit_Hospitalists, "&lt;&gt;"&amp;'Physician Types'!$D$81)+SUMIFS(Physician_Visit_August,Physician_Visit_Practice,August!B113,Physician_Visit_Hospitalists,'Physician Types'!$D$81)*INDEX(Physician_Type_Hospitalists_Visit_Minutes,MATCH(August!B113,Physician_Type_Practice,0))/INDEX(Physician_Type_Visit_Minutes,MATCH(August!B113,Physician_Type_Practice,0)) +SUMIF(Physician_Minutes_Practice,August!B113,Physician_Minutes_August)/INDEX(Physician_Type_Visit_Minutes,MATCH(August!B113,Physician_Type_Practice,0))</f>
        <v>#REF!</v>
      </c>
      <c r="D113" s="43" t="e">
        <f t="shared" ref="D113:D116" si="19">C113*INDEX(Physician_Type_Visit_Minutes,MATCH(B113,Physician_Type_Practice,0))/INDEX(Physician_Type_FTE_Minutes,MATCH(B113,Physician_Type_Practice,0))</f>
        <v>#REF!</v>
      </c>
      <c r="E113" s="17" t="e">
        <f>INDEX(Physician_Type_Bed_Rate,MATCH(August!B113,Physician_Type_Practice,0))*'Hospital Input Page'!$C$4</f>
        <v>#REF!</v>
      </c>
      <c r="F113" s="9" t="e">
        <f t="shared" ref="F113:F116" si="20">D113*E113</f>
        <v>#REF!</v>
      </c>
      <c r="H113" s="5" t="e">
        <f t="array" ref="H113">SUMIFS(Physician_Visit_August, Physician_Visit_Practice, August!B113, Independent_Contractor_Visits,  'Physician Types'!$D$81) + SUMIFS(Physician_Minutes_August,Physician_Minutes_Practice,August!B113, Independent_Contractor_Minutes, 'Physician Types'!$D$81)/INDEX(Physician_Type_Visit_Minutes,MATCH(August!B113,Physician_Type_Practice,0))</f>
        <v>#REF!</v>
      </c>
      <c r="I113" s="43" t="e">
        <f t="shared" ref="I113:I116" si="21">H113*INDEX(Physician_Type_Visit_Minutes,MATCH(B113,Physician_Type_Practice,0))/INDEX(Physician_Type_FTE_Minutes,MATCH(B113,Physician_Type_Practice,0))</f>
        <v>#REF!</v>
      </c>
      <c r="J113" s="10" t="e">
        <f>E113*'Physician Types'!$E$4</f>
        <v>#REF!</v>
      </c>
      <c r="K113" s="10" t="e">
        <f t="shared" ref="K113:K116" si="22">I113*J113</f>
        <v>#REF!</v>
      </c>
    </row>
    <row r="114" spans="1:11" x14ac:dyDescent="0.2">
      <c r="A114" s="102"/>
      <c r="B114" s="164" t="s">
        <v>156</v>
      </c>
      <c r="C114" s="5" t="e">
        <f t="array" ref="C114">SUMIFS(Physician_Visit_August,Physician_Visit_Practice,August!B114,Physician_Visit_Hospitalists, "&lt;&gt;"&amp;'Physician Types'!$D$81)+SUMIFS(Physician_Visit_August,Physician_Visit_Practice,August!B114,Physician_Visit_Hospitalists,'Physician Types'!$D$81)*INDEX(Physician_Type_Hospitalists_Visit_Minutes,MATCH(August!B114,Physician_Type_Practice,0))/INDEX(Physician_Type_Visit_Minutes,MATCH(August!B114,Physician_Type_Practice,0)) +SUMIF(Physician_Minutes_Practice,August!B114,Physician_Minutes_August)/INDEX(Physician_Type_Visit_Minutes,MATCH(August!B114,Physician_Type_Practice,0))</f>
        <v>#REF!</v>
      </c>
      <c r="D114" s="43" t="e">
        <f t="shared" si="19"/>
        <v>#REF!</v>
      </c>
      <c r="E114" s="17" t="e">
        <f>INDEX(Physician_Type_Bed_Rate,MATCH(August!B114,Physician_Type_Practice,0))*'Hospital Input Page'!$C$4</f>
        <v>#REF!</v>
      </c>
      <c r="F114" s="9" t="e">
        <f t="shared" si="20"/>
        <v>#REF!</v>
      </c>
      <c r="H114" s="5" t="e">
        <f t="array" ref="H114">SUMIFS(Physician_Visit_August, Physician_Visit_Practice, August!B114, Independent_Contractor_Visits,  'Physician Types'!$D$81) + SUMIFS(Physician_Minutes_August,Physician_Minutes_Practice,August!B114, Independent_Contractor_Minutes, 'Physician Types'!$D$81)/INDEX(Physician_Type_Visit_Minutes,MATCH(August!B114,Physician_Type_Practice,0))</f>
        <v>#REF!</v>
      </c>
      <c r="I114" s="43" t="e">
        <f t="shared" si="21"/>
        <v>#REF!</v>
      </c>
      <c r="J114" s="10" t="e">
        <f>E114*'Physician Types'!$E$4</f>
        <v>#REF!</v>
      </c>
      <c r="K114" s="10" t="e">
        <f t="shared" si="22"/>
        <v>#REF!</v>
      </c>
    </row>
    <row r="115" spans="1:11" x14ac:dyDescent="0.2">
      <c r="A115" s="102"/>
      <c r="B115" s="164" t="s">
        <v>156</v>
      </c>
      <c r="C115" s="5" t="e">
        <f t="array" ref="C115">SUMIFS(Physician_Visit_August,Physician_Visit_Practice,August!B115,Physician_Visit_Hospitalists, "&lt;&gt;"&amp;'Physician Types'!$D$81)+SUMIFS(Physician_Visit_August,Physician_Visit_Practice,August!B115,Physician_Visit_Hospitalists,'Physician Types'!$D$81)*INDEX(Physician_Type_Hospitalists_Visit_Minutes,MATCH(August!B115,Physician_Type_Practice,0))/INDEX(Physician_Type_Visit_Minutes,MATCH(August!B115,Physician_Type_Practice,0)) +SUMIF(Physician_Minutes_Practice,August!B115,Physician_Minutes_August)/INDEX(Physician_Type_Visit_Minutes,MATCH(August!B115,Physician_Type_Practice,0))</f>
        <v>#REF!</v>
      </c>
      <c r="D115" s="43" t="e">
        <f t="shared" si="19"/>
        <v>#REF!</v>
      </c>
      <c r="E115" s="17" t="e">
        <f>INDEX(Physician_Type_Bed_Rate,MATCH(August!B115,Physician_Type_Practice,0))*'Hospital Input Page'!$C$4</f>
        <v>#REF!</v>
      </c>
      <c r="F115" s="9" t="e">
        <f t="shared" si="20"/>
        <v>#REF!</v>
      </c>
      <c r="H115" s="5" t="e">
        <f t="array" ref="H115">SUMIFS(Physician_Visit_August, Physician_Visit_Practice, August!B115, Independent_Contractor_Visits,  'Physician Types'!$D$81) + SUMIFS(Physician_Minutes_August,Physician_Minutes_Practice,August!B115, Independent_Contractor_Minutes, 'Physician Types'!$D$81)/INDEX(Physician_Type_Visit_Minutes,MATCH(August!B115,Physician_Type_Practice,0))</f>
        <v>#REF!</v>
      </c>
      <c r="I115" s="43" t="e">
        <f t="shared" si="21"/>
        <v>#REF!</v>
      </c>
      <c r="J115" s="10" t="e">
        <f>E115*'Physician Types'!$E$4</f>
        <v>#REF!</v>
      </c>
      <c r="K115" s="10" t="e">
        <f t="shared" si="22"/>
        <v>#REF!</v>
      </c>
    </row>
    <row r="116" spans="1:11" x14ac:dyDescent="0.2">
      <c r="A116" s="102"/>
      <c r="B116" s="164" t="s">
        <v>156</v>
      </c>
      <c r="C116" s="5" t="e">
        <f t="array" ref="C116">SUMIFS(Physician_Visit_August,Physician_Visit_Practice,August!B116,Physician_Visit_Hospitalists, "&lt;&gt;"&amp;'Physician Types'!$D$81)+SUMIFS(Physician_Visit_August,Physician_Visit_Practice,August!B116,Physician_Visit_Hospitalists,'Physician Types'!$D$81)*INDEX(Physician_Type_Hospitalists_Visit_Minutes,MATCH(August!B116,Physician_Type_Practice,0))/INDEX(Physician_Type_Visit_Minutes,MATCH(August!B116,Physician_Type_Practice,0)) +SUMIF(Physician_Minutes_Practice,August!B116,Physician_Minutes_August)/INDEX(Physician_Type_Visit_Minutes,MATCH(August!B116,Physician_Type_Practice,0))</f>
        <v>#REF!</v>
      </c>
      <c r="D116" s="43" t="e">
        <f t="shared" si="19"/>
        <v>#REF!</v>
      </c>
      <c r="E116" s="17" t="e">
        <f>INDEX(Physician_Type_Bed_Rate,MATCH(August!B116,Physician_Type_Practice,0))*'Hospital Input Page'!$C$4</f>
        <v>#REF!</v>
      </c>
      <c r="F116" s="9" t="e">
        <f t="shared" si="20"/>
        <v>#REF!</v>
      </c>
      <c r="H116" s="5" t="e">
        <f t="array" ref="H116">SUMIFS(Physician_Visit_August, Physician_Visit_Practice, August!B116, Independent_Contractor_Visits,  'Physician Types'!$D$81) + SUMIFS(Physician_Minutes_August,Physician_Minutes_Practice,August!B116, Independent_Contractor_Minutes, 'Physician Types'!$D$81)/INDEX(Physician_Type_Visit_Minutes,MATCH(August!B116,Physician_Type_Practice,0))</f>
        <v>#REF!</v>
      </c>
      <c r="I116" s="43" t="e">
        <f t="shared" si="21"/>
        <v>#REF!</v>
      </c>
      <c r="J116" s="10" t="e">
        <f>E116*'Physician Types'!$E$4</f>
        <v>#REF!</v>
      </c>
      <c r="K116" s="10" t="e">
        <f t="shared" si="22"/>
        <v>#REF!</v>
      </c>
    </row>
    <row r="117" spans="1:11" x14ac:dyDescent="0.2">
      <c r="C117" s="9"/>
      <c r="D117" s="9"/>
      <c r="E117" s="40"/>
      <c r="F117" s="9"/>
    </row>
    <row r="118" spans="1:11" x14ac:dyDescent="0.2">
      <c r="C118" s="9"/>
    </row>
    <row r="119" spans="1:11" x14ac:dyDescent="0.2">
      <c r="B119" s="46" t="s">
        <v>106</v>
      </c>
      <c r="C119" s="149"/>
      <c r="D119" s="150"/>
      <c r="E119" s="151"/>
      <c r="F119" s="48">
        <f>SUMIF(F46:F116,"&lt;&gt;#REF!",F46:F116)</f>
        <v>2626.2751976191539</v>
      </c>
      <c r="G119" s="46"/>
      <c r="H119" s="46"/>
      <c r="I119" s="46"/>
      <c r="J119" s="46"/>
      <c r="K119" s="48">
        <f>SUMIF(K46:K116,"&lt;&gt;#REF!",K46:K116)</f>
        <v>0</v>
      </c>
    </row>
    <row r="120" spans="1:11" x14ac:dyDescent="0.2">
      <c r="C120" s="5"/>
      <c r="D120" s="17"/>
      <c r="E120" s="28"/>
      <c r="F120" s="9"/>
    </row>
    <row r="121" spans="1:11" x14ac:dyDescent="0.2">
      <c r="C121" s="5"/>
      <c r="D121" s="17"/>
      <c r="E121" s="28"/>
      <c r="F121" s="9"/>
    </row>
    <row r="122" spans="1:11" x14ac:dyDescent="0.2">
      <c r="C122" s="9"/>
    </row>
    <row r="123" spans="1:11" x14ac:dyDescent="0.2">
      <c r="C123" s="9"/>
      <c r="F123" s="9"/>
    </row>
    <row r="125" spans="1:11" x14ac:dyDescent="0.2">
      <c r="C125" s="5"/>
    </row>
    <row r="127" spans="1:11" x14ac:dyDescent="0.2">
      <c r="C127" s="5"/>
    </row>
    <row r="128" spans="1:11" x14ac:dyDescent="0.2">
      <c r="C128" s="5"/>
    </row>
    <row r="129" spans="3:3" x14ac:dyDescent="0.2">
      <c r="C129" s="5"/>
    </row>
    <row r="131" spans="3:3" x14ac:dyDescent="0.2">
      <c r="C131" s="5"/>
    </row>
  </sheetData>
  <sheetProtection algorithmName="SHA-512" hashValue="ixcOA4GG/oyoh6tddgT4BIsSGK+UtZ/isT5yuRpQnaG/MNrCP2h6v/+eWl48k2H4NssQVMOlN396sXpyejOFKQ==" saltValue="zVfFMGj0s58DDjZGdjCMDQ==" spinCount="100000" sheet="1" objects="1" scenarios="1"/>
  <customSheetViews>
    <customSheetView guid="{4B7E793F-FF7C-4BA4-8EC7-9B719AA3D607}" fitToPage="1">
      <selection activeCell="B7" sqref="B7:C7"/>
      <pageMargins left="0.5" right="0.5" top="0.5" bottom="0.5" header="0.5" footer="0.5"/>
      <printOptions gridLines="1"/>
      <pageSetup scale="97" orientation="portrait" r:id="rId1"/>
      <headerFooter alignWithMargins="0"/>
    </customSheetView>
  </customSheetViews>
  <phoneticPr fontId="8" type="noConversion"/>
  <printOptions headings="1"/>
  <pageMargins left="0.5" right="0.5" top="0.5" bottom="0.5" header="0.5" footer="0.5"/>
  <pageSetup scale="94"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K119"/>
  <sheetViews>
    <sheetView zoomScaleNormal="100" workbookViewId="0">
      <selection activeCell="E19" sqref="E19"/>
    </sheetView>
  </sheetViews>
  <sheetFormatPr defaultRowHeight="12.75" x14ac:dyDescent="0.2"/>
  <cols>
    <col min="1" max="1" width="3.7109375" customWidth="1"/>
    <col min="2" max="2" width="52.42578125" customWidth="1"/>
    <col min="3" max="3" width="11.85546875" customWidth="1"/>
    <col min="4" max="4" width="20.42578125" style="8" bestFit="1" customWidth="1"/>
    <col min="5" max="5" width="9.140625" style="6" bestFit="1" customWidth="1"/>
    <col min="6" max="6" width="12.85546875" customWidth="1"/>
    <col min="8" max="8" width="13.28515625" customWidth="1"/>
    <col min="11" max="11" width="11.28515625" customWidth="1"/>
  </cols>
  <sheetData>
    <row r="1" spans="1:8" ht="15.75" x14ac:dyDescent="0.25">
      <c r="A1" s="18" t="str">
        <f>'Hospital Input Page'!A1</f>
        <v>Grover Dils</v>
      </c>
      <c r="B1" s="19"/>
      <c r="C1" s="18" t="s">
        <v>97</v>
      </c>
      <c r="D1" s="196">
        <f>'Hospital Input Page'!F6</f>
        <v>2019</v>
      </c>
      <c r="E1" s="20"/>
    </row>
    <row r="2" spans="1:8" ht="15.75" x14ac:dyDescent="0.25">
      <c r="A2" s="18" t="str">
        <f>'Hospital Input Page'!A2</f>
        <v>LiCON MONTHLY REPORT FORM (MRF)</v>
      </c>
      <c r="B2" s="19"/>
      <c r="C2" s="19"/>
      <c r="D2" s="20"/>
      <c r="E2" s="19"/>
    </row>
    <row r="3" spans="1:8" ht="15.75" customHeight="1" x14ac:dyDescent="0.25">
      <c r="A3" s="18"/>
      <c r="B3" s="21"/>
      <c r="D3" s="20"/>
      <c r="E3" s="22"/>
      <c r="F3" s="38"/>
    </row>
    <row r="5" spans="1:8" ht="15.75" x14ac:dyDescent="0.25">
      <c r="B5" s="21" t="s">
        <v>24</v>
      </c>
      <c r="C5" s="168">
        <f>F39</f>
        <v>4392.262240379654</v>
      </c>
      <c r="E5"/>
    </row>
    <row r="6" spans="1:8" x14ac:dyDescent="0.2">
      <c r="C6" s="2"/>
    </row>
    <row r="7" spans="1:8" x14ac:dyDescent="0.2">
      <c r="B7" s="58" t="str">
        <f>'Hospital Input Page'!$B$5</f>
        <v>Deductible</v>
      </c>
      <c r="C7" s="58">
        <f>'Hospital Input Page'!$C$5</f>
        <v>10000</v>
      </c>
    </row>
    <row r="8" spans="1:8" x14ac:dyDescent="0.2">
      <c r="B8" s="1"/>
      <c r="C8" s="3"/>
    </row>
    <row r="9" spans="1:8" ht="13.5" thickBot="1" x14ac:dyDescent="0.25">
      <c r="A9" s="4"/>
      <c r="B9" s="23" t="s">
        <v>0</v>
      </c>
      <c r="C9" s="23" t="s">
        <v>1</v>
      </c>
      <c r="D9" s="24" t="s">
        <v>27</v>
      </c>
      <c r="E9" s="25"/>
      <c r="F9" s="49" t="s">
        <v>111</v>
      </c>
    </row>
    <row r="10" spans="1:8" ht="12.95" customHeight="1" x14ac:dyDescent="0.2">
      <c r="A10" s="29">
        <v>1</v>
      </c>
      <c r="B10" s="113" t="s">
        <v>2</v>
      </c>
      <c r="C10" s="5">
        <f>INDEX(Hospital_Exposure_September,MATCH(September!B10,Hospital_Exposure_Name,0))</f>
        <v>0.54</v>
      </c>
      <c r="D10" s="17">
        <f>INDEX(Hospital_Exposure_Rate,MATCH(September!B10,Hospital_Exposure_Name,0))</f>
        <v>527.69012023747894</v>
      </c>
      <c r="E10" s="28" t="s">
        <v>21</v>
      </c>
      <c r="F10" s="50">
        <f t="shared" ref="F10:F15" si="0">C10*D10</f>
        <v>284.95266492823862</v>
      </c>
    </row>
    <row r="11" spans="1:8" ht="12.95" customHeight="1" x14ac:dyDescent="0.2">
      <c r="A11" s="29">
        <f>A10+1</f>
        <v>2</v>
      </c>
      <c r="B11" s="118" t="s">
        <v>3</v>
      </c>
      <c r="C11" s="5">
        <f>INDEX(Hospital_Exposure_September,MATCH(September!B11,Hospital_Exposure_Name,0))</f>
        <v>0</v>
      </c>
      <c r="D11" s="17">
        <f>INDEX(Hospital_Exposure_Rate,MATCH(September!B11,Hospital_Exposure_Name,0))</f>
        <v>527.69012023747894</v>
      </c>
      <c r="E11" s="28" t="s">
        <v>21</v>
      </c>
      <c r="F11" s="50">
        <f t="shared" si="0"/>
        <v>0</v>
      </c>
    </row>
    <row r="12" spans="1:8" ht="12.95" customHeight="1" x14ac:dyDescent="0.2">
      <c r="A12" s="29">
        <f t="shared" ref="A12:A35" si="1">A11+1</f>
        <v>3</v>
      </c>
      <c r="B12" s="118" t="s">
        <v>4</v>
      </c>
      <c r="C12" s="5">
        <f>INDEX(Hospital_Exposure_September,MATCH(September!B12,Hospital_Exposure_Name,0))</f>
        <v>15.67</v>
      </c>
      <c r="D12" s="17">
        <f>INDEX(Hospital_Exposure_Rate,MATCH(September!B12,Hospital_Exposure_Name,0))</f>
        <v>63.322814428497473</v>
      </c>
      <c r="E12" s="28" t="s">
        <v>21</v>
      </c>
      <c r="F12" s="50">
        <f t="shared" si="0"/>
        <v>992.2685020945554</v>
      </c>
    </row>
    <row r="13" spans="1:8" ht="12.95" customHeight="1" x14ac:dyDescent="0.2">
      <c r="A13" s="29">
        <f t="shared" si="1"/>
        <v>4</v>
      </c>
      <c r="B13" s="118" t="s">
        <v>5</v>
      </c>
      <c r="C13" s="5">
        <f>INDEX(Hospital_Exposure_September,MATCH(September!B13,Hospital_Exposure_Name,0))</f>
        <v>0</v>
      </c>
      <c r="D13" s="17">
        <f>INDEX(Hospital_Exposure_Rate,MATCH(September!B13,Hospital_Exposure_Name,0))</f>
        <v>369.38308416623522</v>
      </c>
      <c r="E13" s="28" t="s">
        <v>21</v>
      </c>
      <c r="F13" s="50">
        <f t="shared" si="0"/>
        <v>0</v>
      </c>
    </row>
    <row r="14" spans="1:8" ht="12.95" customHeight="1" x14ac:dyDescent="0.2">
      <c r="A14" s="29">
        <f t="shared" si="1"/>
        <v>5</v>
      </c>
      <c r="B14" s="118" t="s">
        <v>6</v>
      </c>
      <c r="C14" s="5">
        <f>INDEX(Hospital_Exposure_September,MATCH(September!B14,Hospital_Exposure_Name,0))</f>
        <v>0</v>
      </c>
      <c r="D14" s="17">
        <f>INDEX(Hospital_Exposure_Rate,MATCH(September!B14,Hospital_Exposure_Name,0))</f>
        <v>237.988244227103</v>
      </c>
      <c r="E14" s="28" t="s">
        <v>21</v>
      </c>
      <c r="F14" s="50">
        <f t="shared" si="0"/>
        <v>0</v>
      </c>
    </row>
    <row r="15" spans="1:8" ht="12.95" customHeight="1" x14ac:dyDescent="0.2">
      <c r="A15" s="29">
        <f t="shared" si="1"/>
        <v>6</v>
      </c>
      <c r="B15" s="118" t="s">
        <v>7</v>
      </c>
      <c r="C15" s="5">
        <f>INDEX(Hospital_Exposure_September,MATCH(September!B15,Hospital_Exposure_Name,0))</f>
        <v>0</v>
      </c>
      <c r="D15" s="17">
        <f>INDEX(Hospital_Exposure_Rate,MATCH(September!B15,Hospital_Exposure_Name,0))</f>
        <v>184.69154208311761</v>
      </c>
      <c r="E15" s="28" t="s">
        <v>21</v>
      </c>
      <c r="F15" s="50">
        <f t="shared" si="0"/>
        <v>0</v>
      </c>
    </row>
    <row r="16" spans="1:8" ht="12.95" customHeight="1" x14ac:dyDescent="0.2">
      <c r="A16" s="29">
        <f t="shared" si="1"/>
        <v>7</v>
      </c>
      <c r="B16" s="122" t="s">
        <v>114</v>
      </c>
      <c r="C16" s="5">
        <f>INDEX(Hospital_Exposure_September,MATCH(September!B16,Hospital_Exposure_Name,0))</f>
        <v>84</v>
      </c>
      <c r="D16" s="17">
        <f>INDEX(Hospital_Exposure_Rate,MATCH(September!B16,Hospital_Exposure_Name,0))</f>
        <v>89.707320440371419</v>
      </c>
      <c r="E16" s="28" t="s">
        <v>22</v>
      </c>
      <c r="F16" s="50">
        <f>C16*D16/100</f>
        <v>75.354149169911992</v>
      </c>
      <c r="H16" s="31"/>
    </row>
    <row r="17" spans="1:8" ht="12.95" customHeight="1" x14ac:dyDescent="0.2">
      <c r="A17" s="29">
        <f t="shared" si="1"/>
        <v>8</v>
      </c>
      <c r="B17" s="122" t="s">
        <v>115</v>
      </c>
      <c r="C17" s="5">
        <f>INDEX(Hospital_Exposure_September,MATCH(September!B17,Hospital_Exposure_Name,0))</f>
        <v>1195</v>
      </c>
      <c r="D17" s="17">
        <f>INDEX(Hospital_Exposure_Rate,MATCH(September!B17,Hospital_Exposure_Name,0))</f>
        <v>21.107604809499158</v>
      </c>
      <c r="E17" s="28" t="s">
        <v>22</v>
      </c>
      <c r="F17" s="50">
        <f>C17*D17/100</f>
        <v>252.23587747351493</v>
      </c>
      <c r="H17" s="31"/>
    </row>
    <row r="18" spans="1:8" ht="12.95" customHeight="1" x14ac:dyDescent="0.2">
      <c r="A18" s="29">
        <f t="shared" si="1"/>
        <v>9</v>
      </c>
      <c r="B18" s="122" t="s">
        <v>116</v>
      </c>
      <c r="C18" s="5">
        <f>INDEX(Hospital_Exposure_September,MATCH(September!B18,Hospital_Exposure_Name,0))</f>
        <v>0</v>
      </c>
      <c r="D18" s="17">
        <f>INDEX(Hospital_Exposure_Rate,MATCH(September!B18,Hospital_Exposure_Name,0))</f>
        <v>1.1609182645224538</v>
      </c>
      <c r="E18" s="28" t="s">
        <v>22</v>
      </c>
      <c r="F18" s="50">
        <f>C18*D18/100</f>
        <v>0</v>
      </c>
    </row>
    <row r="19" spans="1:8" ht="12.95" customHeight="1" x14ac:dyDescent="0.2">
      <c r="A19" s="29">
        <f t="shared" si="1"/>
        <v>10</v>
      </c>
      <c r="B19" s="118" t="s">
        <v>8</v>
      </c>
      <c r="C19" s="5">
        <f>INDEX(Hospital_Exposure_September,MATCH(September!B19,Hospital_Exposure_Name,0))</f>
        <v>0</v>
      </c>
      <c r="D19" s="17">
        <f>INDEX(Hospital_Exposure_Rate,MATCH(September!B19,Hospital_Exposure_Name,0))</f>
        <v>26.384506011873949</v>
      </c>
      <c r="E19" s="28" t="s">
        <v>23</v>
      </c>
      <c r="F19" s="50">
        <f>C19*D19</f>
        <v>0</v>
      </c>
    </row>
    <row r="20" spans="1:8" ht="12.95" customHeight="1" x14ac:dyDescent="0.2">
      <c r="A20" s="29">
        <f t="shared" si="1"/>
        <v>11</v>
      </c>
      <c r="B20" s="118" t="s">
        <v>9</v>
      </c>
      <c r="C20" s="5">
        <f>INDEX(Hospital_Exposure_September,MATCH(September!B20,Hospital_Exposure_Name,0))</f>
        <v>0</v>
      </c>
      <c r="D20" s="17">
        <f>INDEX(Hospital_Exposure_Rate,MATCH(September!B20,Hospital_Exposure_Name,0))</f>
        <v>10.553802404749579</v>
      </c>
      <c r="E20" s="28" t="s">
        <v>23</v>
      </c>
      <c r="F20" s="50">
        <f>C20*D20</f>
        <v>0</v>
      </c>
    </row>
    <row r="21" spans="1:8" ht="12.95" customHeight="1" x14ac:dyDescent="0.2">
      <c r="A21" s="29">
        <f t="shared" si="1"/>
        <v>12</v>
      </c>
      <c r="B21" s="118" t="s">
        <v>10</v>
      </c>
      <c r="C21" s="5">
        <f>INDEX(Hospital_Exposure_September,MATCH(September!B21,Hospital_Exposure_Name,0))</f>
        <v>0</v>
      </c>
      <c r="D21" s="17">
        <f>INDEX(Hospital_Exposure_Rate,MATCH(September!B21,Hospital_Exposure_Name,0))</f>
        <v>79.153518035621843</v>
      </c>
      <c r="E21" s="28" t="s">
        <v>23</v>
      </c>
      <c r="F21" s="50">
        <f t="shared" ref="F21:F23" si="2">C21*D21</f>
        <v>0</v>
      </c>
    </row>
    <row r="22" spans="1:8" ht="12.95" customHeight="1" x14ac:dyDescent="0.2">
      <c r="A22" s="29">
        <f t="shared" si="1"/>
        <v>13</v>
      </c>
      <c r="B22" s="118" t="s">
        <v>11</v>
      </c>
      <c r="C22" s="5">
        <f>INDEX(Hospital_Exposure_September,MATCH(September!B22,Hospital_Exposure_Name,0))</f>
        <v>0</v>
      </c>
      <c r="D22" s="17">
        <f>INDEX(Hospital_Exposure_Rate,MATCH(September!B22,Hospital_Exposure_Name,0))</f>
        <v>79.153518035621843</v>
      </c>
      <c r="E22" s="28" t="s">
        <v>23</v>
      </c>
      <c r="F22" s="50">
        <f t="shared" si="2"/>
        <v>0</v>
      </c>
    </row>
    <row r="23" spans="1:8" ht="12.95" customHeight="1" x14ac:dyDescent="0.2">
      <c r="A23" s="29">
        <f t="shared" si="1"/>
        <v>14</v>
      </c>
      <c r="B23" s="122" t="s">
        <v>117</v>
      </c>
      <c r="C23" s="5">
        <f>INDEX(Hospital_Exposure_September,MATCH(September!B23,Hospital_Exposure_Name,0))</f>
        <v>0</v>
      </c>
      <c r="D23" s="17">
        <f>INDEX(Hospital_Exposure_Rate,MATCH(September!B23,Hospital_Exposure_Name,0))</f>
        <v>341.38512486587695</v>
      </c>
      <c r="E23" s="28" t="s">
        <v>23</v>
      </c>
      <c r="F23" s="50">
        <f t="shared" si="2"/>
        <v>0</v>
      </c>
    </row>
    <row r="24" spans="1:8" ht="12.95" customHeight="1" x14ac:dyDescent="0.2">
      <c r="A24" s="29">
        <f t="shared" si="1"/>
        <v>15</v>
      </c>
      <c r="B24" s="74" t="s">
        <v>136</v>
      </c>
      <c r="C24" s="5">
        <f>INDEX($C$47:$C$113,MATCH(B24,$B$47:$B$113,0))</f>
        <v>84</v>
      </c>
      <c r="D24" s="5">
        <f>INDEX($E$47:$E$113,MATCH(B24,$B$47:$B$113,0))</f>
        <v>1727.2161200254454</v>
      </c>
      <c r="E24" s="28" t="s">
        <v>22</v>
      </c>
      <c r="F24" s="50">
        <f>SUMIF(B46:B112,B24,F46:F112)+SUMIF(B46:B112,B54,K46:K112)</f>
        <v>1451.3099613221598</v>
      </c>
    </row>
    <row r="25" spans="1:8" ht="12.95" customHeight="1" x14ac:dyDescent="0.2">
      <c r="A25" s="29">
        <f t="shared" si="1"/>
        <v>16</v>
      </c>
      <c r="B25" s="4" t="s">
        <v>12</v>
      </c>
      <c r="C25" s="5">
        <f>SUMIF($A$47:$A$113, 1,$D$47:$D$113)</f>
        <v>0</v>
      </c>
      <c r="D25" s="5">
        <f>IFERROR(F25/C25,0)</f>
        <v>0</v>
      </c>
      <c r="E25" s="28" t="s">
        <v>23</v>
      </c>
      <c r="F25" s="51">
        <f>SUMIF($A$46:$A$112, 1,$F$46:$F$112) + SUMIF($A$46:$A$112, 1,$K$46:$K$112)</f>
        <v>0</v>
      </c>
    </row>
    <row r="26" spans="1:8" ht="12.95" customHeight="1" x14ac:dyDescent="0.2">
      <c r="A26" s="29">
        <f t="shared" si="1"/>
        <v>17</v>
      </c>
      <c r="B26" s="4" t="s">
        <v>13</v>
      </c>
      <c r="C26" s="5">
        <f>SUMIF($A$47:$A$113, 2,$D$47:$D$113)</f>
        <v>0</v>
      </c>
      <c r="D26" s="5">
        <f t="shared" ref="D26:D35" si="3">IFERROR(F26/C26,0)</f>
        <v>0</v>
      </c>
      <c r="E26" s="28" t="s">
        <v>23</v>
      </c>
      <c r="F26" s="51">
        <f>SUMIF($A$46:$A$112, 2,$F$46:$F$112) + SUMIF($A$46:$A$112, 2,$K$46:$K$112)</f>
        <v>0</v>
      </c>
    </row>
    <row r="27" spans="1:8" ht="12.95" customHeight="1" x14ac:dyDescent="0.2">
      <c r="A27" s="29">
        <f t="shared" si="1"/>
        <v>18</v>
      </c>
      <c r="B27" s="4" t="s">
        <v>14</v>
      </c>
      <c r="C27" s="5">
        <f>SUMIF($A$47:$A$113, 3,$D$47:$D$113)</f>
        <v>0.48270159041520022</v>
      </c>
      <c r="D27" s="5">
        <f t="shared" si="3"/>
        <v>1951.6566327971132</v>
      </c>
      <c r="E27" s="28" t="s">
        <v>23</v>
      </c>
      <c r="F27" s="51">
        <f>SUMIF($A$46:$A$112, 3,$F$46:$F$112) + SUMIF($A$46:$A$112, 3,$K$46:$K$112)</f>
        <v>942.0677605955409</v>
      </c>
    </row>
    <row r="28" spans="1:8" ht="12.95" customHeight="1" x14ac:dyDescent="0.2">
      <c r="A28" s="29">
        <f t="shared" si="1"/>
        <v>19</v>
      </c>
      <c r="B28" s="4" t="s">
        <v>15</v>
      </c>
      <c r="C28" s="5">
        <f>SUMIF($A$47:$A$113, 4,$D$47:$D$113)</f>
        <v>0</v>
      </c>
      <c r="D28" s="5">
        <f t="shared" si="3"/>
        <v>0</v>
      </c>
      <c r="E28" s="28" t="s">
        <v>23</v>
      </c>
      <c r="F28" s="51">
        <f>SUMIF($A$46:$A$112, 4,$F$46:$F$112) + SUMIF($A$46:$A$112, 4,$K$46:$K$112)</f>
        <v>0</v>
      </c>
    </row>
    <row r="29" spans="1:8" ht="12.95" customHeight="1" x14ac:dyDescent="0.2">
      <c r="A29" s="29">
        <f t="shared" si="1"/>
        <v>20</v>
      </c>
      <c r="B29" s="4" t="s">
        <v>16</v>
      </c>
      <c r="C29" s="5">
        <f>SUMIF($A$47:$A$113, 5,$D$47:$D$113)</f>
        <v>0</v>
      </c>
      <c r="D29" s="5">
        <f t="shared" si="3"/>
        <v>0</v>
      </c>
      <c r="E29" s="28" t="s">
        <v>23</v>
      </c>
      <c r="F29" s="51">
        <f>SUMIF($A$46:$A$112, 5,$F$46:$F$112) + SUMIF($A$46:$A$112, 5,$K$46:$K$112)</f>
        <v>0</v>
      </c>
    </row>
    <row r="30" spans="1:8" ht="12.95" customHeight="1" x14ac:dyDescent="0.2">
      <c r="A30" s="29">
        <f t="shared" si="1"/>
        <v>21</v>
      </c>
      <c r="B30" s="4" t="s">
        <v>17</v>
      </c>
      <c r="C30" s="5">
        <f>SUMIF($A$47:$A$113, 6,$D$47:$D$113)</f>
        <v>0</v>
      </c>
      <c r="D30" s="5">
        <f t="shared" si="3"/>
        <v>0</v>
      </c>
      <c r="E30" s="28" t="s">
        <v>23</v>
      </c>
      <c r="F30" s="51">
        <f>SUMIF($A$46:$A$112, 6,$F$46:$F$112) + SUMIF($A$46:$A$112, 6,$K$46:$K$112)</f>
        <v>0</v>
      </c>
    </row>
    <row r="31" spans="1:8" ht="12.95" customHeight="1" x14ac:dyDescent="0.2">
      <c r="A31" s="29">
        <f t="shared" si="1"/>
        <v>22</v>
      </c>
      <c r="B31" s="4" t="s">
        <v>18</v>
      </c>
      <c r="C31" s="5">
        <f>SUMIF($A$47:$A$113, 7,$D$47:$D$113)</f>
        <v>0</v>
      </c>
      <c r="D31" s="5">
        <f t="shared" si="3"/>
        <v>0</v>
      </c>
      <c r="E31" s="28" t="s">
        <v>23</v>
      </c>
      <c r="F31" s="51">
        <f>SUMIF($A$46:$A$112, 7,$F$46:$F$112) + SUMIF($A$46:$A$112, 7,$K$46:$K$112)</f>
        <v>0</v>
      </c>
    </row>
    <row r="32" spans="1:8" ht="12.95" customHeight="1" x14ac:dyDescent="0.2">
      <c r="A32" s="29">
        <f t="shared" si="1"/>
        <v>23</v>
      </c>
      <c r="B32" s="4" t="s">
        <v>19</v>
      </c>
      <c r="C32" s="5">
        <f>SUMIF($A$47:$A$113, 8,$D$47:$D$113)</f>
        <v>0</v>
      </c>
      <c r="D32" s="5">
        <f t="shared" si="3"/>
        <v>0</v>
      </c>
      <c r="E32" s="28" t="s">
        <v>23</v>
      </c>
      <c r="F32" s="51">
        <f>SUMIF($A$46:$A$112, 8,$F$46:$F$112) + SUMIF($A$46:$A$112, 8,$K$46:$K$112)</f>
        <v>0</v>
      </c>
    </row>
    <row r="33" spans="1:11" ht="12.95" customHeight="1" x14ac:dyDescent="0.2">
      <c r="A33" s="29">
        <f t="shared" si="1"/>
        <v>24</v>
      </c>
      <c r="B33" t="s">
        <v>79</v>
      </c>
      <c r="C33" s="5">
        <f>SUMIF($B$47:$B$113, B33,$D$47:$D$113)</f>
        <v>0</v>
      </c>
      <c r="D33" s="5">
        <f t="shared" si="3"/>
        <v>0</v>
      </c>
      <c r="E33" s="28" t="s">
        <v>23</v>
      </c>
      <c r="F33" s="51">
        <f>SUMIF($B$46:$B$112, B33,$F$46:$F$112) + SUMIF($B$46:$B$112, B33,$K$46:$K$112)</f>
        <v>0</v>
      </c>
    </row>
    <row r="34" spans="1:11" ht="12.95" customHeight="1" x14ac:dyDescent="0.2">
      <c r="A34" s="29">
        <f t="shared" si="1"/>
        <v>25</v>
      </c>
      <c r="B34" t="s">
        <v>20</v>
      </c>
      <c r="C34" s="5">
        <f>SUMIF($B$47:$B$113, B34,$D$47:$D$113)</f>
        <v>0.79809227100521152</v>
      </c>
      <c r="D34" s="5">
        <f t="shared" si="3"/>
        <v>493.76912809766958</v>
      </c>
      <c r="E34" s="28" t="s">
        <v>23</v>
      </c>
      <c r="F34" s="51">
        <f t="shared" ref="F34:F35" si="4">SUMIF($B$46:$B$112, B34,$F$46:$F$112) + SUMIF($B$46:$B$112, B34,$K$46:$K$112)</f>
        <v>394.07332479573233</v>
      </c>
    </row>
    <row r="35" spans="1:11" ht="12.95" customHeight="1" x14ac:dyDescent="0.2">
      <c r="A35" s="29">
        <f t="shared" si="1"/>
        <v>26</v>
      </c>
      <c r="B35" t="s">
        <v>80</v>
      </c>
      <c r="C35" s="5">
        <f>SUMIF($B$47:$B$113, B35,$D$47:$D$113)</f>
        <v>0</v>
      </c>
      <c r="D35" s="5">
        <f t="shared" si="3"/>
        <v>0</v>
      </c>
      <c r="E35" s="28" t="s">
        <v>23</v>
      </c>
      <c r="F35" s="51">
        <f t="shared" si="4"/>
        <v>0</v>
      </c>
    </row>
    <row r="36" spans="1:11" x14ac:dyDescent="0.2">
      <c r="F36" s="50"/>
    </row>
    <row r="37" spans="1:11" x14ac:dyDescent="0.2">
      <c r="F37" s="50"/>
    </row>
    <row r="38" spans="1:11" x14ac:dyDescent="0.2">
      <c r="B38" s="4"/>
      <c r="C38" s="5"/>
      <c r="D38" s="17"/>
      <c r="E38" s="7"/>
      <c r="F38" s="52"/>
    </row>
    <row r="39" spans="1:11" x14ac:dyDescent="0.2">
      <c r="A39" s="31"/>
      <c r="B39" s="53" t="s">
        <v>84</v>
      </c>
      <c r="C39" s="46"/>
      <c r="D39" s="54"/>
      <c r="E39" s="55"/>
      <c r="F39" s="169">
        <f>SUM(F10:F35)</f>
        <v>4392.262240379654</v>
      </c>
    </row>
    <row r="40" spans="1:11" x14ac:dyDescent="0.2">
      <c r="A40" s="31"/>
      <c r="B40" s="53"/>
      <c r="C40" s="46"/>
      <c r="D40" s="54"/>
      <c r="E40" s="55"/>
      <c r="F40" s="56"/>
    </row>
    <row r="41" spans="1:11" x14ac:dyDescent="0.2">
      <c r="A41" s="31"/>
      <c r="B41" s="34"/>
      <c r="C41" s="31"/>
      <c r="D41" s="35"/>
      <c r="E41" s="36"/>
      <c r="F41" s="16"/>
    </row>
    <row r="42" spans="1:11" x14ac:dyDescent="0.2">
      <c r="F42" s="10"/>
      <c r="H42" s="45" t="s">
        <v>148</v>
      </c>
      <c r="I42" s="45"/>
      <c r="J42" s="45"/>
      <c r="K42" s="45"/>
    </row>
    <row r="43" spans="1:11" ht="25.5" x14ac:dyDescent="0.2">
      <c r="A43" s="23" t="s">
        <v>85</v>
      </c>
      <c r="B43" s="41" t="s">
        <v>86</v>
      </c>
      <c r="C43" s="46" t="s">
        <v>81</v>
      </c>
      <c r="D43" s="47" t="s">
        <v>82</v>
      </c>
      <c r="E43" s="24" t="s">
        <v>27</v>
      </c>
      <c r="F43" s="23" t="s">
        <v>26</v>
      </c>
      <c r="H43" s="44" t="s">
        <v>143</v>
      </c>
      <c r="I43" s="47" t="s">
        <v>82</v>
      </c>
      <c r="J43" s="24" t="s">
        <v>27</v>
      </c>
      <c r="K43" s="23" t="s">
        <v>149</v>
      </c>
    </row>
    <row r="44" spans="1:11" x14ac:dyDescent="0.2">
      <c r="E44" s="8"/>
    </row>
    <row r="45" spans="1:11" x14ac:dyDescent="0.2">
      <c r="E45" s="8"/>
    </row>
    <row r="46" spans="1:11" x14ac:dyDescent="0.2">
      <c r="A46" s="158">
        <v>1</v>
      </c>
      <c r="B46" s="107" t="s">
        <v>28</v>
      </c>
      <c r="C46" s="5">
        <f>SUMIFS(Physician_Visit_September,Physician_Visit_Practice,September!B46,Physician_Visit_Hospitalists, "&lt;&gt;"&amp;'Physician Types'!$D$81)+SUMIFS(Physician_Visit_September,Physician_Visit_Practice,September!B46,Physician_Visit_Hospitalists,'Physician Types'!$D$81)*INDEX(Physician_Type_Hospitalists_Visit_Minutes,MATCH(September!B46,Physician_Type_Practice,0))/INDEX(Physician_Type_Visit_Minutes,MATCH(September!B46,Physician_Type_Practice,0)) +SUMIF(Physician_Minutes_Practice,September!B46,Physician_Minutes_September)/INDEX(Physician_Type_Visit_Minutes,MATCH(September!B46,Physician_Type_Practice,0))</f>
        <v>0</v>
      </c>
      <c r="D46" s="43">
        <f t="shared" ref="D46:D77" si="5">C46*INDEX(Physician_Type_Visit_Minutes,MATCH(B46,Physician_Type_Practice,0))/INDEX(Physician_Type_FTE_Minutes,MATCH(B46,Physician_Type_Practice,0))</f>
        <v>0</v>
      </c>
      <c r="E46" s="17">
        <f>INDEX(Physician_Type_Bed_Rate,MATCH(September!B46,Physician_Type_Practice,0))*'Hospital Input Page'!$C$4</f>
        <v>925.08524394583173</v>
      </c>
      <c r="F46" s="9">
        <f>D46*E46</f>
        <v>0</v>
      </c>
      <c r="H46" s="5">
        <f t="array" ref="H46">SUMIFS(Physician_Visit_September, Physician_Visit_Practice, September!B46, Independent_Contractor_Visits,  'Physician Types'!$D$81) + SUMIFS(Physician_Minutes_September,Physician_Minutes_Practice,September!B46, Independent_Contractor_Minutes, 'Physician Types'!$D$81)/INDEX(Physician_Type_Visit_Minutes,MATCH(September!B46,Physician_Type_Practice,0))</f>
        <v>0</v>
      </c>
      <c r="I46" s="43">
        <f t="shared" ref="I46:I77" si="6">H46*INDEX(Physician_Type_Visit_Minutes,MATCH(B46,Physician_Type_Practice,0))/INDEX(Physician_Type_FTE_Minutes,MATCH(B46,Physician_Type_Practice,0))</f>
        <v>0</v>
      </c>
      <c r="J46" s="10">
        <f>E46*'Physician Types'!$E$4</f>
        <v>27.752557318374951</v>
      </c>
      <c r="K46" s="10">
        <f>I46*J46</f>
        <v>0</v>
      </c>
    </row>
    <row r="47" spans="1:11" x14ac:dyDescent="0.2">
      <c r="A47" s="158">
        <v>1</v>
      </c>
      <c r="B47" s="107" t="s">
        <v>29</v>
      </c>
      <c r="C47" s="5">
        <f>SUMIFS(Physician_Visit_September,Physician_Visit_Practice,September!B47,Physician_Visit_Hospitalists, "&lt;&gt;"&amp;'Physician Types'!$D$81)+SUMIFS(Physician_Visit_September,Physician_Visit_Practice,September!B47,Physician_Visit_Hospitalists,'Physician Types'!$D$81)*INDEX(Physician_Type_Hospitalists_Visit_Minutes,MATCH(September!B47,Physician_Type_Practice,0))/INDEX(Physician_Type_Visit_Minutes,MATCH(September!B47,Physician_Type_Practice,0)) +SUMIF(Physician_Minutes_Practice,September!B47,Physician_Minutes_September)/INDEX(Physician_Type_Visit_Minutes,MATCH(September!B47,Physician_Type_Practice,0))</f>
        <v>0</v>
      </c>
      <c r="D47" s="43">
        <f t="shared" si="5"/>
        <v>0</v>
      </c>
      <c r="E47" s="17">
        <f>INDEX(Physician_Type_Bed_Rate,MATCH(September!B47,Physician_Type_Practice,0))*'Hospital Input Page'!$C$4</f>
        <v>993.39322609373073</v>
      </c>
      <c r="F47" s="9">
        <f t="shared" ref="F47:F111" si="7">D47*E47</f>
        <v>0</v>
      </c>
      <c r="H47" s="5">
        <f t="array" ref="H47">SUMIFS(Physician_Visit_September, Physician_Visit_Practice, September!B47, Independent_Contractor_Visits,  'Physician Types'!$D$81) + SUMIFS(Physician_Minutes_September,Physician_Minutes_Practice,September!B47, Independent_Contractor_Minutes, 'Physician Types'!$D$81)/INDEX(Physician_Type_Visit_Minutes,MATCH(September!B47,Physician_Type_Practice,0))</f>
        <v>0</v>
      </c>
      <c r="I47" s="43">
        <f t="shared" si="6"/>
        <v>0</v>
      </c>
      <c r="J47" s="10">
        <f>E47*'Physician Types'!$E$4</f>
        <v>29.80179678281192</v>
      </c>
      <c r="K47" s="10">
        <f t="shared" ref="K47:K111" si="8">I47*J47</f>
        <v>0</v>
      </c>
    </row>
    <row r="48" spans="1:11" x14ac:dyDescent="0.2">
      <c r="A48" s="158">
        <v>4</v>
      </c>
      <c r="B48" s="102" t="s">
        <v>60</v>
      </c>
      <c r="C48" s="5">
        <f>SUMIFS(Physician_Visit_September,Physician_Visit_Practice,September!B48,Physician_Visit_Hospitalists, "&lt;&gt;"&amp;'Physician Types'!$D$81)+SUMIFS(Physician_Visit_September,Physician_Visit_Practice,September!B48,Physician_Visit_Hospitalists,'Physician Types'!$D$81)*INDEX(Physician_Type_Hospitalists_Visit_Minutes,MATCH(September!B48,Physician_Type_Practice,0))/INDEX(Physician_Type_Visit_Minutes,MATCH(September!B48,Physician_Type_Practice,0)) +SUMIF(Physician_Minutes_Practice,September!B48,Physician_Minutes_September)/INDEX(Physician_Type_Visit_Minutes,MATCH(September!B48,Physician_Type_Practice,0))</f>
        <v>0</v>
      </c>
      <c r="D48" s="43">
        <f t="shared" si="5"/>
        <v>0</v>
      </c>
      <c r="E48" s="17">
        <f>INDEX(Physician_Type_Bed_Rate,MATCH(September!B48,Physician_Type_Practice,0))*'Hospital Input Page'!$C$4</f>
        <v>2699.1411231584075</v>
      </c>
      <c r="F48" s="9">
        <f t="shared" si="7"/>
        <v>0</v>
      </c>
      <c r="H48" s="5">
        <f>SUMIFS(Physician_Visit_September,Physician_Visit_Practice,September!B48,Independent_Contractor_Visits, "&lt;&gt;"&amp;'Physician Types'!$D$81)+SUMIFS(Physician_Visit_September,Physician_Visit_Practice,September!B48,Independent_Contractor_Visits,'Physician Types'!$D$81)*INDEX(Physician_Type_Hospitalists_Visit_Minutes,MATCH(September!B48,Physician_Type_Practice,0))/INDEX(Physician_Type_Visit_Minutes,MATCH(September!B48,Physician_Type_Practice,0)) +SUMIF(Physician_Minutes_Practice,September!B48,Physician_Minutes_September)/INDEX(Physician_Type_Visit_Minutes,MATCH(September!B48,Physician_Type_Practice,0))</f>
        <v>0</v>
      </c>
      <c r="I48" s="43">
        <f t="shared" si="6"/>
        <v>0</v>
      </c>
      <c r="J48" s="10">
        <f>E48*'Physician Types'!$E$4</f>
        <v>80.974233694752215</v>
      </c>
      <c r="K48" s="10">
        <f t="shared" si="8"/>
        <v>0</v>
      </c>
    </row>
    <row r="49" spans="1:11" x14ac:dyDescent="0.2">
      <c r="A49" s="158">
        <v>4</v>
      </c>
      <c r="B49" s="102" t="s">
        <v>61</v>
      </c>
      <c r="C49" s="5">
        <f>SUMIFS(Physician_Visit_September,Physician_Visit_Practice,September!B49,Physician_Visit_Hospitalists, "&lt;&gt;"&amp;'Physician Types'!$D$81)+SUMIFS(Physician_Visit_September,Physician_Visit_Practice,September!B49,Physician_Visit_Hospitalists,'Physician Types'!$D$81)*INDEX(Physician_Type_Hospitalists_Visit_Minutes,MATCH(September!B49,Physician_Type_Practice,0))/INDEX(Physician_Type_Visit_Minutes,MATCH(September!B49,Physician_Type_Practice,0)) +SUMIF(Physician_Minutes_Practice,September!B49,Physician_Minutes_September)/INDEX(Physician_Type_Visit_Minutes,MATCH(September!B49,Physician_Type_Practice,0))</f>
        <v>0</v>
      </c>
      <c r="D49" s="43">
        <f t="shared" si="5"/>
        <v>0</v>
      </c>
      <c r="E49" s="17">
        <f>INDEX(Physician_Type_Bed_Rate,MATCH(September!B49,Physician_Type_Practice,0))*'Hospital Input Page'!$C$4</f>
        <v>3071.9075400226566</v>
      </c>
      <c r="F49" s="9">
        <f t="shared" si="7"/>
        <v>0</v>
      </c>
      <c r="H49" s="5">
        <f>SUMIFS(Physician_Visit_September,Physician_Visit_Practice,September!B49,Independent_Contractor_Visits, "&lt;&gt;"&amp;'Physician Types'!$D$81)+SUMIFS(Physician_Visit_September,Physician_Visit_Practice,September!B49,Independent_Contractor_Visits,'Physician Types'!$D$81)*INDEX(Physician_Type_Hospitalists_Visit_Minutes,MATCH(September!B49,Physician_Type_Practice,0))/INDEX(Physician_Type_Visit_Minutes,MATCH(September!B49,Physician_Type_Practice,0)) +SUMIF(Physician_Minutes_Practice,September!B49,Physician_Minutes_September)/INDEX(Physician_Type_Visit_Minutes,MATCH(September!B49,Physician_Type_Practice,0))</f>
        <v>0</v>
      </c>
      <c r="I49" s="43">
        <f t="shared" si="6"/>
        <v>0</v>
      </c>
      <c r="J49" s="10">
        <f>E49*'Physician Types'!$E$4</f>
        <v>92.157226200679688</v>
      </c>
      <c r="K49" s="10">
        <f t="shared" si="8"/>
        <v>0</v>
      </c>
    </row>
    <row r="50" spans="1:11" x14ac:dyDescent="0.2">
      <c r="A50" s="158">
        <v>2</v>
      </c>
      <c r="B50" s="107" t="s">
        <v>34</v>
      </c>
      <c r="C50" s="5">
        <f>SUMIFS(Physician_Visit_September,Physician_Visit_Practice,September!B50,Physician_Visit_Hospitalists, "&lt;&gt;"&amp;'Physician Types'!$D$81)+SUMIFS(Physician_Visit_September,Physician_Visit_Practice,September!B50,Physician_Visit_Hospitalists,'Physician Types'!$D$81)*INDEX(Physician_Type_Hospitalists_Visit_Minutes,MATCH(September!B50,Physician_Type_Practice,0))/INDEX(Physician_Type_Visit_Minutes,MATCH(September!B50,Physician_Type_Practice,0)) +SUMIF(Physician_Minutes_Practice,September!B50,Physician_Minutes_September)/INDEX(Physician_Type_Visit_Minutes,MATCH(September!B50,Physician_Type_Practice,0))</f>
        <v>0</v>
      </c>
      <c r="D50" s="43">
        <f t="shared" si="5"/>
        <v>0</v>
      </c>
      <c r="E50" s="17">
        <f>INDEX(Physician_Type_Bed_Rate,MATCH(September!B50,Physician_Type_Practice,0))*'Hospital Input Page'!$C$4</f>
        <v>1619.8750052216039</v>
      </c>
      <c r="F50" s="9">
        <f t="shared" si="7"/>
        <v>0</v>
      </c>
      <c r="H50" s="5">
        <f>SUMIFS(Physician_Visit_September,Physician_Visit_Practice,September!B50,Independent_Contractor_Visits, "&lt;&gt;"&amp;'Physician Types'!$D$81)+SUMIFS(Physician_Visit_September,Physician_Visit_Practice,September!B50,Independent_Contractor_Visits,'Physician Types'!$D$81)*INDEX(Physician_Type_Hospitalists_Visit_Minutes,MATCH(September!B50,Physician_Type_Practice,0))/INDEX(Physician_Type_Visit_Minutes,MATCH(September!B50,Physician_Type_Practice,0)) +SUMIF(Physician_Minutes_Practice,September!B50,Physician_Minutes_September)/INDEX(Physician_Type_Visit_Minutes,MATCH(September!B50,Physician_Type_Practice,0))</f>
        <v>0</v>
      </c>
      <c r="I50" s="43">
        <f t="shared" si="6"/>
        <v>0</v>
      </c>
      <c r="J50" s="10">
        <f>E50*'Physician Types'!$E$4</f>
        <v>48.596250156648118</v>
      </c>
      <c r="K50" s="10">
        <f t="shared" si="8"/>
        <v>0</v>
      </c>
    </row>
    <row r="51" spans="1:11" x14ac:dyDescent="0.2">
      <c r="A51" s="158">
        <v>7</v>
      </c>
      <c r="B51" s="102" t="s">
        <v>72</v>
      </c>
      <c r="C51" s="5">
        <f>SUMIFS(Physician_Visit_September,Physician_Visit_Practice,September!B51,Physician_Visit_Hospitalists, "&lt;&gt;"&amp;'Physician Types'!$D$81)+SUMIFS(Physician_Visit_September,Physician_Visit_Practice,September!B51,Physician_Visit_Hospitalists,'Physician Types'!$D$81)*INDEX(Physician_Type_Hospitalists_Visit_Minutes,MATCH(September!B51,Physician_Type_Practice,0))/INDEX(Physician_Type_Visit_Minutes,MATCH(September!B51,Physician_Type_Practice,0)) +SUMIF(Physician_Minutes_Practice,September!B51,Physician_Minutes_September)/INDEX(Physician_Type_Visit_Minutes,MATCH(September!B51,Physician_Type_Practice,0))</f>
        <v>0</v>
      </c>
      <c r="D51" s="43">
        <f t="shared" si="5"/>
        <v>0</v>
      </c>
      <c r="E51" s="17">
        <f>INDEX(Physician_Type_Bed_Rate,MATCH(September!B51,Physician_Type_Practice,0))*'Hospital Input Page'!$C$4</f>
        <v>7974.4690016090053</v>
      </c>
      <c r="F51" s="9">
        <f t="shared" si="7"/>
        <v>0</v>
      </c>
      <c r="H51" s="5">
        <f>SUMIFS(Physician_Visit_September,Physician_Visit_Practice,September!B51,Independent_Contractor_Visits, "&lt;&gt;"&amp;'Physician Types'!$D$81)+SUMIFS(Physician_Visit_September,Physician_Visit_Practice,September!B51,Independent_Contractor_Visits,'Physician Types'!$D$81)*INDEX(Physician_Type_Hospitalists_Visit_Minutes,MATCH(September!B51,Physician_Type_Practice,0))/INDEX(Physician_Type_Visit_Minutes,MATCH(September!B51,Physician_Type_Practice,0)) +SUMIF(Physician_Minutes_Practice,September!B51,Physician_Minutes_September)/INDEX(Physician_Type_Visit_Minutes,MATCH(September!B51,Physician_Type_Practice,0))</f>
        <v>0</v>
      </c>
      <c r="I51" s="43">
        <f t="shared" si="6"/>
        <v>0</v>
      </c>
      <c r="J51" s="10">
        <f>E51*'Physician Types'!$E$4</f>
        <v>239.23407004827015</v>
      </c>
      <c r="K51" s="10">
        <f t="shared" si="8"/>
        <v>0</v>
      </c>
    </row>
    <row r="52" spans="1:11" x14ac:dyDescent="0.2">
      <c r="A52" s="158">
        <v>6</v>
      </c>
      <c r="B52" s="102" t="s">
        <v>69</v>
      </c>
      <c r="C52" s="5">
        <f>SUMIFS(Physician_Visit_September,Physician_Visit_Practice,September!B52,Physician_Visit_Hospitalists, "&lt;&gt;"&amp;'Physician Types'!$D$81)+SUMIFS(Physician_Visit_September,Physician_Visit_Practice,September!B52,Physician_Visit_Hospitalists,'Physician Types'!$D$81)*INDEX(Physician_Type_Hospitalists_Visit_Minutes,MATCH(September!B52,Physician_Type_Practice,0))/INDEX(Physician_Type_Visit_Minutes,MATCH(September!B52,Physician_Type_Practice,0)) +SUMIF(Physician_Minutes_Practice,September!B52,Physician_Minutes_September)/INDEX(Physician_Type_Visit_Minutes,MATCH(September!B52,Physician_Type_Practice,0))</f>
        <v>0</v>
      </c>
      <c r="D52" s="43">
        <f t="shared" si="5"/>
        <v>0</v>
      </c>
      <c r="E52" s="17">
        <f>INDEX(Physician_Type_Bed_Rate,MATCH(September!B52,Physician_Type_Practice,0))*'Hospital Input Page'!$C$4</f>
        <v>3534.4501619955722</v>
      </c>
      <c r="F52" s="9">
        <f t="shared" si="7"/>
        <v>0</v>
      </c>
      <c r="H52" s="5">
        <f>SUMIFS(Physician_Visit_September,Physician_Visit_Practice,September!B52,Independent_Contractor_Visits, "&lt;&gt;"&amp;'Physician Types'!$D$81)+SUMIFS(Physician_Visit_September,Physician_Visit_Practice,September!B52,Independent_Contractor_Visits,'Physician Types'!$D$81)*INDEX(Physician_Type_Hospitalists_Visit_Minutes,MATCH(September!B52,Physician_Type_Practice,0))/INDEX(Physician_Type_Visit_Minutes,MATCH(September!B52,Physician_Type_Practice,0)) +SUMIF(Physician_Minutes_Practice,September!B52,Physician_Minutes_September)/INDEX(Physician_Type_Visit_Minutes,MATCH(September!B52,Physician_Type_Practice,0))</f>
        <v>0</v>
      </c>
      <c r="I52" s="43">
        <f t="shared" si="6"/>
        <v>0</v>
      </c>
      <c r="J52" s="10">
        <f>E52*'Physician Types'!$E$4</f>
        <v>106.03350485986716</v>
      </c>
      <c r="K52" s="10">
        <f t="shared" si="8"/>
        <v>0</v>
      </c>
    </row>
    <row r="53" spans="1:11" x14ac:dyDescent="0.2">
      <c r="A53" s="158">
        <v>2</v>
      </c>
      <c r="B53" s="107" t="s">
        <v>35</v>
      </c>
      <c r="C53" s="5">
        <f>SUMIFS(Physician_Visit_September,Physician_Visit_Practice,September!B53,Physician_Visit_Hospitalists, "&lt;&gt;"&amp;'Physician Types'!$D$81)+SUMIFS(Physician_Visit_September,Physician_Visit_Practice,September!B53,Physician_Visit_Hospitalists,'Physician Types'!$D$81)*INDEX(Physician_Type_Hospitalists_Visit_Minutes,MATCH(September!B53,Physician_Type_Practice,0))/INDEX(Physician_Type_Visit_Minutes,MATCH(September!B53,Physician_Type_Practice,0)) +SUMIF(Physician_Minutes_Practice,September!B53,Physician_Minutes_September)/INDEX(Physician_Type_Visit_Minutes,MATCH(September!B53,Physician_Type_Practice,0))</f>
        <v>0</v>
      </c>
      <c r="D53" s="43">
        <f t="shared" si="5"/>
        <v>0</v>
      </c>
      <c r="E53" s="17">
        <f>INDEX(Physician_Type_Bed_Rate,MATCH(September!B53,Physician_Type_Practice,0))*'Hospital Input Page'!$C$4</f>
        <v>993.39322609373073</v>
      </c>
      <c r="F53" s="9">
        <f t="shared" si="7"/>
        <v>0</v>
      </c>
      <c r="H53" s="5">
        <f>SUMIFS(Physician_Visit_September,Physician_Visit_Practice,September!B53,Independent_Contractor_Visits, "&lt;&gt;"&amp;'Physician Types'!$D$81)+SUMIFS(Physician_Visit_September,Physician_Visit_Practice,September!B53,Independent_Contractor_Visits,'Physician Types'!$D$81)*INDEX(Physician_Type_Hospitalists_Visit_Minutes,MATCH(September!B53,Physician_Type_Practice,0))/INDEX(Physician_Type_Visit_Minutes,MATCH(September!B53,Physician_Type_Practice,0)) +SUMIF(Physician_Minutes_Practice,September!B53,Physician_Minutes_September)/INDEX(Physician_Type_Visit_Minutes,MATCH(September!B53,Physician_Type_Practice,0))</f>
        <v>0</v>
      </c>
      <c r="I53" s="43">
        <f t="shared" si="6"/>
        <v>0</v>
      </c>
      <c r="J53" s="10">
        <f>E53*'Physician Types'!$E$4</f>
        <v>29.80179678281192</v>
      </c>
      <c r="K53" s="10">
        <f t="shared" si="8"/>
        <v>0</v>
      </c>
    </row>
    <row r="54" spans="1:11" x14ac:dyDescent="0.2">
      <c r="A54" s="158"/>
      <c r="B54" s="161" t="s">
        <v>136</v>
      </c>
      <c r="C54" s="5">
        <f>SUMIFS(Physician_Visit_September,Physician_Visit_Practice,September!B54,Physician_Visit_Hospitalists, "&lt;&gt;"&amp;'Physician Types'!$D$81)+SUMIFS(Physician_Visit_September,Physician_Visit_Practice,September!B54,Physician_Visit_Hospitalists,'Physician Types'!$D$81)*INDEX(Physician_Type_Hospitalists_Visit_Minutes,MATCH(September!B54,Physician_Type_Practice,0))/INDEX(Physician_Type_Visit_Minutes,MATCH(September!B54,Physician_Type_Practice,0)) +SUMIF(Physician_Minutes_Practice,September!B54,Physician_Minutes_September)/INDEX(Physician_Type_Visit_Minutes,MATCH(September!B54,Physician_Type_Practice,0))</f>
        <v>84</v>
      </c>
      <c r="D54" s="43">
        <f t="shared" si="5"/>
        <v>0.12115617608030922</v>
      </c>
      <c r="E54" s="17">
        <f>INDEX(Physician_Type_Bed_Rate,MATCH(September!B54,Physician_Type_Practice,0))*'Hospital Input Page'!$C$4</f>
        <v>1727.2161200254454</v>
      </c>
      <c r="F54" s="9">
        <f>C54*E54/100</f>
        <v>1450.8615408213743</v>
      </c>
      <c r="H54" s="5">
        <f t="array" ref="H54">SUMIFS(Physician_Visit_September, Physician_Visit_Practice, September!B54, Independent_Contractor_Visits, 'Physician Types'!$D$81)</f>
        <v>6</v>
      </c>
      <c r="I54" s="43">
        <f t="shared" si="6"/>
        <v>8.6540125771649452E-3</v>
      </c>
      <c r="J54" s="10">
        <f>E54*'Physician Types'!$E$4</f>
        <v>51.816483600763362</v>
      </c>
      <c r="K54" s="10">
        <f t="shared" si="8"/>
        <v>0.44842050078546725</v>
      </c>
    </row>
    <row r="55" spans="1:11" x14ac:dyDescent="0.2">
      <c r="A55" s="158">
        <v>2</v>
      </c>
      <c r="B55" s="107" t="s">
        <v>36</v>
      </c>
      <c r="C55" s="5">
        <f>SUMIFS(Physician_Visit_September,Physician_Visit_Practice,September!B55,Physician_Visit_Hospitalists, "&lt;&gt;"&amp;'Physician Types'!$D$81)+SUMIFS(Physician_Visit_September,Physician_Visit_Practice,September!B55,Physician_Visit_Hospitalists,'Physician Types'!$D$81)*INDEX(Physician_Type_Hospitalists_Visit_Minutes,MATCH(September!B55,Physician_Type_Practice,0))/INDEX(Physician_Type_Visit_Minutes,MATCH(September!B55,Physician_Type_Practice,0)) +SUMIF(Physician_Minutes_Practice,September!B55,Physician_Minutes_September)/INDEX(Physician_Type_Visit_Minutes,MATCH(September!B55,Physician_Type_Practice,0))</f>
        <v>0</v>
      </c>
      <c r="D55" s="43">
        <f t="shared" si="5"/>
        <v>0</v>
      </c>
      <c r="E55" s="17">
        <f>INDEX(Physician_Type_Bed_Rate,MATCH(September!B55,Physician_Type_Practice,0))*'Hospital Input Page'!$C$4</f>
        <v>2544.9602491674359</v>
      </c>
      <c r="F55" s="9">
        <f t="shared" si="7"/>
        <v>0</v>
      </c>
      <c r="H55" s="5">
        <f>SUMIFS(Physician_Visit_September,Physician_Visit_Practice,September!B55,Independent_Contractor_Visits, "&lt;&gt;"&amp;'Physician Types'!$D$81)+SUMIFS(Physician_Visit_September,Physician_Visit_Practice,September!B55,Independent_Contractor_Visits,'Physician Types'!$D$81)*INDEX(Physician_Type_Hospitalists_Visit_Minutes,MATCH(September!B55,Physician_Type_Practice,0))/INDEX(Physician_Type_Visit_Minutes,MATCH(September!B55,Physician_Type_Practice,0)) +SUMIF(Physician_Minutes_Practice,September!B55,Physician_Minutes_September)/INDEX(Physician_Type_Visit_Minutes,MATCH(September!B55,Physician_Type_Practice,0))</f>
        <v>0</v>
      </c>
      <c r="I55" s="43">
        <f t="shared" si="6"/>
        <v>0</v>
      </c>
      <c r="J55" s="10">
        <f>E55*'Physician Types'!$E$4</f>
        <v>76.348807475023079</v>
      </c>
      <c r="K55" s="10">
        <f t="shared" si="8"/>
        <v>0</v>
      </c>
    </row>
    <row r="56" spans="1:11" x14ac:dyDescent="0.2">
      <c r="A56" s="158">
        <v>2</v>
      </c>
      <c r="B56" s="107" t="s">
        <v>37</v>
      </c>
      <c r="C56" s="5">
        <f>SUMIFS(Physician_Visit_September,Physician_Visit_Practice,September!B56,Physician_Visit_Hospitalists, "&lt;&gt;"&amp;'Physician Types'!$D$81)+SUMIFS(Physician_Visit_September,Physician_Visit_Practice,September!B56,Physician_Visit_Hospitalists,'Physician Types'!$D$81)*INDEX(Physician_Type_Hospitalists_Visit_Minutes,MATCH(September!B56,Physician_Type_Practice,0))/INDEX(Physician_Type_Visit_Minutes,MATCH(September!B56,Physician_Type_Practice,0)) +SUMIF(Physician_Minutes_Practice,September!B56,Physician_Minutes_September)/INDEX(Physician_Type_Visit_Minutes,MATCH(September!B56,Physician_Type_Practice,0))</f>
        <v>0</v>
      </c>
      <c r="D56" s="43">
        <f t="shared" si="5"/>
        <v>0</v>
      </c>
      <c r="E56" s="17">
        <f>INDEX(Physician_Type_Bed_Rate,MATCH(September!B56,Physician_Type_Practice,0))*'Hospital Input Page'!$C$4</f>
        <v>1567.1802761360821</v>
      </c>
      <c r="F56" s="9">
        <f t="shared" si="7"/>
        <v>0</v>
      </c>
      <c r="H56" s="5">
        <f t="array" ref="H56">SUMIFS(Physician_Visit_September, Physician_Visit_Practice, September!B56, Independent_Contractor_Visits,  'Physician Types'!$D$81) + SUMIFS(Physician_Minutes_September,Physician_Minutes_Practice,September!B56, Independent_Contractor_Minutes, 'Physician Types'!$D$81)/INDEX(Physician_Type_Visit_Minutes,MATCH(September!B56,Physician_Type_Practice,0))</f>
        <v>0</v>
      </c>
      <c r="I56" s="43">
        <f t="shared" si="6"/>
        <v>0</v>
      </c>
      <c r="J56" s="10">
        <f>E56*'Physician Types'!$E$4</f>
        <v>47.015408284082461</v>
      </c>
      <c r="K56" s="10">
        <f t="shared" si="8"/>
        <v>0</v>
      </c>
    </row>
    <row r="57" spans="1:11" x14ac:dyDescent="0.2">
      <c r="A57" s="158">
        <v>2</v>
      </c>
      <c r="B57" s="107" t="s">
        <v>38</v>
      </c>
      <c r="C57" s="5">
        <f>SUMIFS(Physician_Visit_September,Physician_Visit_Practice,September!B57,Physician_Visit_Hospitalists, "&lt;&gt;"&amp;'Physician Types'!$D$81)+SUMIFS(Physician_Visit_September,Physician_Visit_Practice,September!B57,Physician_Visit_Hospitalists,'Physician Types'!$D$81)*INDEX(Physician_Type_Hospitalists_Visit_Minutes,MATCH(September!B57,Physician_Type_Practice,0))/INDEX(Physician_Type_Visit_Minutes,MATCH(September!B57,Physician_Type_Practice,0)) +SUMIF(Physician_Minutes_Practice,September!B57,Physician_Minutes_September)/INDEX(Physician_Type_Visit_Minutes,MATCH(September!B57,Physician_Type_Practice,0))</f>
        <v>0</v>
      </c>
      <c r="D57" s="43">
        <f t="shared" si="5"/>
        <v>0</v>
      </c>
      <c r="E57" s="17">
        <f>INDEX(Physician_Type_Bed_Rate,MATCH(September!B57,Physician_Type_Practice,0))*'Hospital Input Page'!$C$4</f>
        <v>4399.0340503246935</v>
      </c>
      <c r="F57" s="9">
        <f t="shared" si="7"/>
        <v>0</v>
      </c>
      <c r="H57" s="5">
        <f t="array" ref="H57">SUMIFS(Physician_Visit_September, Physician_Visit_Practice, September!B57, Independent_Contractor_Visits,  'Physician Types'!$D$81) + SUMIFS(Physician_Minutes_September,Physician_Minutes_Practice,September!B57, Independent_Contractor_Minutes, 'Physician Types'!$D$81)/INDEX(Physician_Type_Visit_Minutes,MATCH(September!B57,Physician_Type_Practice,0))</f>
        <v>0</v>
      </c>
      <c r="I57" s="43">
        <f t="shared" si="6"/>
        <v>0</v>
      </c>
      <c r="J57" s="10">
        <f>E57*'Physician Types'!$E$4</f>
        <v>131.97102150974081</v>
      </c>
      <c r="K57" s="10">
        <f t="shared" si="8"/>
        <v>0</v>
      </c>
    </row>
    <row r="58" spans="1:11" x14ac:dyDescent="0.2">
      <c r="A58" s="158">
        <v>3</v>
      </c>
      <c r="B58" s="161" t="s">
        <v>155</v>
      </c>
      <c r="C58" s="5">
        <f>SUMIFS(Physician_Visit_September,Physician_Visit_Practice,September!B58,Physician_Visit_Hospitalists, "&lt;&gt;"&amp;'Physician Types'!$D$81)+SUMIFS(Physician_Visit_September,Physician_Visit_Practice,September!B58,Physician_Visit_Hospitalists,'Physician Types'!$D$81)*INDEX(Physician_Type_Hospitalists_Visit_Minutes,MATCH(September!B58,Physician_Type_Practice,0))/INDEX(Physician_Type_Visit_Minutes,MATCH(September!B58,Physician_Type_Practice,0)) +SUMIF(Physician_Minutes_Practice,September!B58,Physician_Minutes_September)/INDEX(Physician_Type_Visit_Minutes,MATCH(September!B58,Physician_Type_Practice,0))</f>
        <v>251</v>
      </c>
      <c r="D58" s="43">
        <f t="shared" si="5"/>
        <v>0.48270159041520022</v>
      </c>
      <c r="E58" s="17">
        <f>INDEX(Physician_Type_Bed_Rate,MATCH(September!B58,Physician_Type_Practice,0))*'Hospital Input Page'!$C$4</f>
        <v>1951.6566327971132</v>
      </c>
      <c r="F58" s="9">
        <f t="shared" si="7"/>
        <v>942.0677605955409</v>
      </c>
      <c r="H58" s="5">
        <f t="array" ref="H58">SUMIFS(Physician_Visit_September, Physician_Visit_Practice, September!B58, Independent_Contractor_Visits,  'Physician Types'!$D$81) + SUMIFS(Physician_Minutes_September,Physician_Minutes_Practice,September!B58, Independent_Contractor_Minutes, 'Physician Types'!$D$81)/INDEX(Physician_Type_Visit_Minutes,MATCH(September!B58,Physician_Type_Practice,0))</f>
        <v>0</v>
      </c>
      <c r="I58" s="43">
        <f t="shared" si="6"/>
        <v>0</v>
      </c>
      <c r="J58" s="10">
        <f>E58*'Physician Types'!$E$4</f>
        <v>58.549698983913395</v>
      </c>
      <c r="K58" s="10">
        <f t="shared" si="8"/>
        <v>0</v>
      </c>
    </row>
    <row r="59" spans="1:11" x14ac:dyDescent="0.2">
      <c r="A59" s="158">
        <v>5</v>
      </c>
      <c r="B59" s="161" t="s">
        <v>137</v>
      </c>
      <c r="C59" s="5">
        <f>SUMIFS(Physician_Visit_September,Physician_Visit_Practice,September!B59,Physician_Visit_Hospitalists, "&lt;&gt;"&amp;'Physician Types'!$D$81)+SUMIFS(Physician_Visit_September,Physician_Visit_Practice,September!B59,Physician_Visit_Hospitalists,'Physician Types'!$D$81)*INDEX(Physician_Type_Hospitalists_Visit_Minutes,MATCH(September!B59,Physician_Type_Practice,0))/INDEX(Physician_Type_Visit_Minutes,MATCH(September!B59,Physician_Type_Practice,0)) +SUMIF(Physician_Minutes_Practice,September!B59,Physician_Minutes_September)/INDEX(Physician_Type_Visit_Minutes,MATCH(September!B59,Physician_Type_Practice,0))</f>
        <v>0</v>
      </c>
      <c r="D59" s="43">
        <f t="shared" si="5"/>
        <v>0</v>
      </c>
      <c r="E59" s="17">
        <f>INDEX(Physician_Type_Bed_Rate,MATCH(September!B59,Physician_Type_Practice,0))*'Hospital Input Page'!$C$4</f>
        <v>4933.7879677111023</v>
      </c>
      <c r="F59" s="9">
        <f t="shared" si="7"/>
        <v>0</v>
      </c>
      <c r="H59" s="5">
        <f t="array" ref="H59">SUMIFS(Physician_Visit_September, Physician_Visit_Practice, September!B59, Independent_Contractor_Visits,  'Physician Types'!$D$81) + SUMIFS(Physician_Minutes_September,Physician_Minutes_Practice,September!B59, Independent_Contractor_Minutes, 'Physician Types'!$D$81)/INDEX(Physician_Type_Visit_Minutes,MATCH(September!B59,Physician_Type_Practice,0))</f>
        <v>0</v>
      </c>
      <c r="I59" s="43">
        <f t="shared" si="6"/>
        <v>0</v>
      </c>
      <c r="J59" s="10">
        <f>E59*'Physician Types'!$E$4</f>
        <v>148.01363903133307</v>
      </c>
      <c r="K59" s="10">
        <f t="shared" si="8"/>
        <v>0</v>
      </c>
    </row>
    <row r="60" spans="1:11" x14ac:dyDescent="0.2">
      <c r="A60" s="158">
        <v>6</v>
      </c>
      <c r="B60" s="102" t="s">
        <v>70</v>
      </c>
      <c r="C60" s="5">
        <f>SUMIFS(Physician_Visit_September,Physician_Visit_Practice,September!B60,Physician_Visit_Hospitalists, "&lt;&gt;"&amp;'Physician Types'!$D$81)+SUMIFS(Physician_Visit_September,Physician_Visit_Practice,September!B60,Physician_Visit_Hospitalists,'Physician Types'!$D$81)*INDEX(Physician_Type_Hospitalists_Visit_Minutes,MATCH(September!B60,Physician_Type_Practice,0))/INDEX(Physician_Type_Visit_Minutes,MATCH(September!B60,Physician_Type_Practice,0)) +SUMIF(Physician_Minutes_Practice,September!B60,Physician_Minutes_September)/INDEX(Physician_Type_Visit_Minutes,MATCH(September!B60,Physician_Type_Practice,0))</f>
        <v>0</v>
      </c>
      <c r="D60" s="43">
        <f t="shared" si="5"/>
        <v>0</v>
      </c>
      <c r="E60" s="17">
        <f>INDEX(Physician_Type_Bed_Rate,MATCH(September!B60,Physician_Type_Practice,0))*'Hospital Input Page'!$C$4</f>
        <v>5179.6967034435384</v>
      </c>
      <c r="F60" s="9">
        <f t="shared" si="7"/>
        <v>0</v>
      </c>
      <c r="H60" s="5">
        <f t="array" ref="H60">SUMIFS(Physician_Visit_September, Physician_Visit_Practice, September!B60, Independent_Contractor_Visits,  'Physician Types'!$D$81) + SUMIFS(Physician_Minutes_September,Physician_Minutes_Practice,September!B60, Independent_Contractor_Minutes, 'Physician Types'!$D$81)/INDEX(Physician_Type_Visit_Minutes,MATCH(September!B60,Physician_Type_Practice,0))</f>
        <v>0</v>
      </c>
      <c r="I60" s="43">
        <f t="shared" si="6"/>
        <v>0</v>
      </c>
      <c r="J60" s="10">
        <f>E60*'Physician Types'!$E$4</f>
        <v>155.39090110330613</v>
      </c>
      <c r="K60" s="10">
        <f t="shared" si="8"/>
        <v>0</v>
      </c>
    </row>
    <row r="61" spans="1:11" x14ac:dyDescent="0.2">
      <c r="A61" s="158">
        <v>2</v>
      </c>
      <c r="B61" s="107" t="s">
        <v>39</v>
      </c>
      <c r="C61" s="5">
        <f>SUMIFS(Physician_Visit_September,Physician_Visit_Practice,September!B61,Physician_Visit_Hospitalists, "&lt;&gt;"&amp;'Physician Types'!$D$81)+SUMIFS(Physician_Visit_September,Physician_Visit_Practice,September!B61,Physician_Visit_Hospitalists,'Physician Types'!$D$81)*INDEX(Physician_Type_Hospitalists_Visit_Minutes,MATCH(September!B61,Physician_Type_Practice,0))/INDEX(Physician_Type_Visit_Minutes,MATCH(September!B61,Physician_Type_Practice,0)) +SUMIF(Physician_Minutes_Practice,September!B61,Physician_Minutes_September)/INDEX(Physician_Type_Visit_Minutes,MATCH(September!B61,Physician_Type_Practice,0))</f>
        <v>0</v>
      </c>
      <c r="D61" s="43">
        <f t="shared" si="5"/>
        <v>0</v>
      </c>
      <c r="E61" s="17">
        <f>INDEX(Physician_Type_Bed_Rate,MATCH(September!B61,Physician_Type_Practice,0))*'Hospital Input Page'!$C$4</f>
        <v>2539.1052792690443</v>
      </c>
      <c r="F61" s="9">
        <f t="shared" si="7"/>
        <v>0</v>
      </c>
      <c r="H61" s="5">
        <f t="array" ref="H61">SUMIFS(Physician_Visit_September, Physician_Visit_Practice, September!B61, Independent_Contractor_Visits,  'Physician Types'!$D$81) + SUMIFS(Physician_Minutes_September,Physician_Minutes_Practice,September!B61, Independent_Contractor_Minutes, 'Physician Types'!$D$81)/INDEX(Physician_Type_Visit_Minutes,MATCH(September!B61,Physician_Type_Practice,0))</f>
        <v>0</v>
      </c>
      <c r="I61" s="43">
        <f t="shared" si="6"/>
        <v>0</v>
      </c>
      <c r="J61" s="10">
        <f>E61*'Physician Types'!$E$4</f>
        <v>76.173158378071321</v>
      </c>
      <c r="K61" s="10">
        <f t="shared" si="8"/>
        <v>0</v>
      </c>
    </row>
    <row r="62" spans="1:11" x14ac:dyDescent="0.2">
      <c r="A62" s="158">
        <v>2</v>
      </c>
      <c r="B62" s="107" t="s">
        <v>40</v>
      </c>
      <c r="C62" s="5">
        <f>SUMIFS(Physician_Visit_September,Physician_Visit_Practice,September!B62,Physician_Visit_Hospitalists, "&lt;&gt;"&amp;'Physician Types'!$D$81)+SUMIFS(Physician_Visit_September,Physician_Visit_Practice,September!B62,Physician_Visit_Hospitalists,'Physician Types'!$D$81)*INDEX(Physician_Type_Hospitalists_Visit_Minutes,MATCH(September!B62,Physician_Type_Practice,0))/INDEX(Physician_Type_Visit_Minutes,MATCH(September!B62,Physician_Type_Practice,0)) +SUMIF(Physician_Minutes_Practice,September!B62,Physician_Minutes_September)/INDEX(Physician_Type_Visit_Minutes,MATCH(September!B62,Physician_Type_Practice,0))</f>
        <v>0</v>
      </c>
      <c r="D62" s="43">
        <f t="shared" si="5"/>
        <v>0</v>
      </c>
      <c r="E62" s="17">
        <f>INDEX(Physician_Type_Bed_Rate,MATCH(September!B62,Physician_Type_Practice,0))*'Hospital Input Page'!$C$4</f>
        <v>1619.8750052216039</v>
      </c>
      <c r="F62" s="9">
        <f t="shared" si="7"/>
        <v>0</v>
      </c>
      <c r="H62" s="5">
        <f t="array" ref="H62">SUMIFS(Physician_Visit_September, Physician_Visit_Practice, September!B62, Independent_Contractor_Visits,  'Physician Types'!$D$81) + SUMIFS(Physician_Minutes_September,Physician_Minutes_Practice,September!B62, Independent_Contractor_Minutes, 'Physician Types'!$D$81)/INDEX(Physician_Type_Visit_Minutes,MATCH(September!B62,Physician_Type_Practice,0))</f>
        <v>0</v>
      </c>
      <c r="I62" s="43">
        <f t="shared" si="6"/>
        <v>0</v>
      </c>
      <c r="J62" s="10">
        <f>E62*'Physician Types'!$E$4</f>
        <v>48.596250156648118</v>
      </c>
      <c r="K62" s="10">
        <f t="shared" si="8"/>
        <v>0</v>
      </c>
    </row>
    <row r="63" spans="1:11" x14ac:dyDescent="0.2">
      <c r="A63" s="158">
        <v>2</v>
      </c>
      <c r="B63" s="107" t="s">
        <v>41</v>
      </c>
      <c r="C63" s="5">
        <f>SUMIFS(Physician_Visit_September,Physician_Visit_Practice,September!B63,Physician_Visit_Hospitalists, "&lt;&gt;"&amp;'Physician Types'!$D$81)+SUMIFS(Physician_Visit_September,Physician_Visit_Practice,September!B63,Physician_Visit_Hospitalists,'Physician Types'!$D$81)*INDEX(Physician_Type_Hospitalists_Visit_Minutes,MATCH(September!B63,Physician_Type_Practice,0))/INDEX(Physician_Type_Visit_Minutes,MATCH(September!B63,Physician_Type_Practice,0)) +SUMIF(Physician_Minutes_Practice,September!B63,Physician_Minutes_September)/INDEX(Physician_Type_Visit_Minutes,MATCH(September!B63,Physician_Type_Practice,0))</f>
        <v>0</v>
      </c>
      <c r="D63" s="43">
        <f t="shared" si="5"/>
        <v>0</v>
      </c>
      <c r="E63" s="17">
        <f>INDEX(Physician_Type_Bed_Rate,MATCH(September!B63,Physician_Type_Practice,0))*'Hospital Input Page'!$C$4</f>
        <v>4844.0117626024357</v>
      </c>
      <c r="F63" s="9">
        <f t="shared" si="7"/>
        <v>0</v>
      </c>
      <c r="H63" s="5">
        <f t="array" ref="H63">SUMIFS(Physician_Visit_September, Physician_Visit_Practice, September!B63, Independent_Contractor_Visits,  'Physician Types'!$D$81) + SUMIFS(Physician_Minutes_September,Physician_Minutes_Practice,September!B63, Independent_Contractor_Minutes, 'Physician Types'!$D$81)/INDEX(Physician_Type_Visit_Minutes,MATCH(September!B63,Physician_Type_Practice,0))</f>
        <v>0</v>
      </c>
      <c r="I63" s="43">
        <f t="shared" si="6"/>
        <v>0</v>
      </c>
      <c r="J63" s="10">
        <f>E63*'Physician Types'!$E$4</f>
        <v>145.32035287807307</v>
      </c>
      <c r="K63" s="10">
        <f t="shared" si="8"/>
        <v>0</v>
      </c>
    </row>
    <row r="64" spans="1:11" x14ac:dyDescent="0.2">
      <c r="A64" s="158">
        <v>6</v>
      </c>
      <c r="B64" s="128" t="s">
        <v>138</v>
      </c>
      <c r="C64" s="5">
        <f>SUMIFS(Physician_Visit_September,Physician_Visit_Practice,September!B64,Physician_Visit_Hospitalists, "&lt;&gt;"&amp;'Physician Types'!$D$81)+SUMIFS(Physician_Visit_September,Physician_Visit_Practice,September!B64,Physician_Visit_Hospitalists,'Physician Types'!$D$81)*INDEX(Physician_Type_Hospitalists_Visit_Minutes,MATCH(September!B64,Physician_Type_Practice,0))/INDEX(Physician_Type_Visit_Minutes,MATCH(September!B64,Physician_Type_Practice,0)) +SUMIF(Physician_Minutes_Practice,September!B64,Physician_Minutes_September)/INDEX(Physician_Type_Visit_Minutes,MATCH(September!B64,Physician_Type_Practice,0))</f>
        <v>0</v>
      </c>
      <c r="D64" s="43">
        <f t="shared" si="5"/>
        <v>0</v>
      </c>
      <c r="E64" s="17">
        <f>INDEX(Physician_Type_Bed_Rate,MATCH(September!B64,Physician_Type_Practice,0))*'Hospital Input Page'!$C$4</f>
        <v>5782.7586029778467</v>
      </c>
      <c r="F64" s="9">
        <f t="shared" si="7"/>
        <v>0</v>
      </c>
      <c r="H64" s="5">
        <f t="array" ref="H64">SUMIFS(Physician_Visit_September, Physician_Visit_Practice, September!B64, Independent_Contractor_Visits,  'Physician Types'!$D$81) + SUMIFS(Physician_Minutes_September,Physician_Minutes_Practice,September!B64, Independent_Contractor_Minutes, 'Physician Types'!$D$81)/INDEX(Physician_Type_Visit_Minutes,MATCH(September!B64,Physician_Type_Practice,0))</f>
        <v>0</v>
      </c>
      <c r="I64" s="43">
        <f t="shared" si="6"/>
        <v>0</v>
      </c>
      <c r="J64" s="10">
        <f>E64*'Physician Types'!$E$4</f>
        <v>173.48275808933539</v>
      </c>
      <c r="K64" s="10">
        <f t="shared" si="8"/>
        <v>0</v>
      </c>
    </row>
    <row r="65" spans="1:11" x14ac:dyDescent="0.2">
      <c r="A65" s="158">
        <v>2</v>
      </c>
      <c r="B65" s="107" t="s">
        <v>42</v>
      </c>
      <c r="C65" s="5">
        <f>SUMIFS(Physician_Visit_September,Physician_Visit_Practice,September!B65,Physician_Visit_Hospitalists, "&lt;&gt;"&amp;'Physician Types'!$D$81)+SUMIFS(Physician_Visit_September,Physician_Visit_Practice,September!B65,Physician_Visit_Hospitalists,'Physician Types'!$D$81)*INDEX(Physician_Type_Hospitalists_Visit_Minutes,MATCH(September!B65,Physician_Type_Practice,0))/INDEX(Physician_Type_Visit_Minutes,MATCH(September!B65,Physician_Type_Practice,0)) +SUMIF(Physician_Minutes_Practice,September!B65,Physician_Minutes_September)/INDEX(Physician_Type_Visit_Minutes,MATCH(September!B65,Physician_Type_Practice,0))</f>
        <v>0</v>
      </c>
      <c r="D65" s="43">
        <f t="shared" si="5"/>
        <v>0</v>
      </c>
      <c r="E65" s="17">
        <f>INDEX(Physician_Type_Bed_Rate,MATCH(September!B65,Physician_Type_Practice,0))*'Hospital Input Page'!$C$4</f>
        <v>1487.1623541914003</v>
      </c>
      <c r="F65" s="9">
        <f t="shared" si="7"/>
        <v>0</v>
      </c>
      <c r="H65" s="5">
        <f t="array" ref="H65">SUMIFS(Physician_Visit_September, Physician_Visit_Practice, September!B65, Independent_Contractor_Visits,  'Physician Types'!$D$81) + SUMIFS(Physician_Minutes_September,Physician_Minutes_Practice,September!B65, Independent_Contractor_Minutes, 'Physician Types'!$D$81)/INDEX(Physician_Type_Visit_Minutes,MATCH(September!B65,Physician_Type_Practice,0))</f>
        <v>0</v>
      </c>
      <c r="I65" s="43">
        <f t="shared" si="6"/>
        <v>0</v>
      </c>
      <c r="J65" s="10">
        <f>E65*'Physician Types'!$E$4</f>
        <v>44.614870625742007</v>
      </c>
      <c r="K65" s="10">
        <f t="shared" si="8"/>
        <v>0</v>
      </c>
    </row>
    <row r="66" spans="1:11" x14ac:dyDescent="0.2">
      <c r="A66" s="158">
        <v>5</v>
      </c>
      <c r="B66" s="102" t="s">
        <v>64</v>
      </c>
      <c r="C66" s="5">
        <f>SUMIFS(Physician_Visit_September,Physician_Visit_Practice,September!B66,Physician_Visit_Hospitalists, "&lt;&gt;"&amp;'Physician Types'!$D$81)+SUMIFS(Physician_Visit_September,Physician_Visit_Practice,September!B66,Physician_Visit_Hospitalists,'Physician Types'!$D$81)*INDEX(Physician_Type_Hospitalists_Visit_Minutes,MATCH(September!B66,Physician_Type_Practice,0))/INDEX(Physician_Type_Visit_Minutes,MATCH(September!B66,Physician_Type_Practice,0)) +SUMIF(Physician_Minutes_Practice,September!B66,Physician_Minutes_September)/INDEX(Physician_Type_Visit_Minutes,MATCH(September!B66,Physician_Type_Practice,0))</f>
        <v>0</v>
      </c>
      <c r="D66" s="43">
        <f t="shared" si="5"/>
        <v>0</v>
      </c>
      <c r="E66" s="17">
        <f>INDEX(Physician_Type_Bed_Rate,MATCH(September!B66,Physician_Type_Practice,0))*'Hospital Input Page'!$C$4</f>
        <v>2406.3926282388406</v>
      </c>
      <c r="F66" s="9">
        <f t="shared" si="7"/>
        <v>0</v>
      </c>
      <c r="H66" s="5">
        <f t="array" ref="H66">SUMIFS(Physician_Visit_September, Physician_Visit_Practice, September!B66, Independent_Contractor_Visits,  'Physician Types'!$D$81) + SUMIFS(Physician_Minutes_September,Physician_Minutes_Practice,September!B66, Independent_Contractor_Minutes, 'Physician Types'!$D$81)/INDEX(Physician_Type_Visit_Minutes,MATCH(September!B66,Physician_Type_Practice,0))</f>
        <v>0</v>
      </c>
      <c r="I66" s="43">
        <f t="shared" si="6"/>
        <v>0</v>
      </c>
      <c r="J66" s="10">
        <f>E66*'Physician Types'!$E$4</f>
        <v>72.19177884716521</v>
      </c>
      <c r="K66" s="10">
        <f t="shared" si="8"/>
        <v>0</v>
      </c>
    </row>
    <row r="67" spans="1:11" x14ac:dyDescent="0.2">
      <c r="A67" s="158">
        <v>5</v>
      </c>
      <c r="B67" s="102" t="s">
        <v>65</v>
      </c>
      <c r="C67" s="5">
        <f>SUMIFS(Physician_Visit_September,Physician_Visit_Practice,September!B67,Physician_Visit_Hospitalists, "&lt;&gt;"&amp;'Physician Types'!$D$81)+SUMIFS(Physician_Visit_September,Physician_Visit_Practice,September!B67,Physician_Visit_Hospitalists,'Physician Types'!$D$81)*INDEX(Physician_Type_Hospitalists_Visit_Minutes,MATCH(September!B67,Physician_Type_Practice,0))/INDEX(Physician_Type_Visit_Minutes,MATCH(September!B67,Physician_Type_Practice,0)) +SUMIF(Physician_Minutes_Practice,September!B67,Physician_Minutes_September)/INDEX(Physician_Type_Visit_Minutes,MATCH(September!B67,Physician_Type_Practice,0))</f>
        <v>0</v>
      </c>
      <c r="D67" s="43">
        <f t="shared" si="5"/>
        <v>0</v>
      </c>
      <c r="E67" s="17">
        <f>INDEX(Physician_Type_Bed_Rate,MATCH(September!B67,Physician_Type_Practice,0))*'Hospital Input Page'!$C$4</f>
        <v>1487.1623541914003</v>
      </c>
      <c r="F67" s="9">
        <f t="shared" si="7"/>
        <v>0</v>
      </c>
      <c r="H67" s="5">
        <f t="array" ref="H67">SUMIFS(Physician_Visit_September, Physician_Visit_Practice, September!B67, Independent_Contractor_Visits,  'Physician Types'!$D$81) + SUMIFS(Physician_Minutes_September,Physician_Minutes_Practice,September!B67, Independent_Contractor_Minutes, 'Physician Types'!$D$81)/INDEX(Physician_Type_Visit_Minutes,MATCH(September!B67,Physician_Type_Practice,0))</f>
        <v>0</v>
      </c>
      <c r="I67" s="43">
        <f t="shared" si="6"/>
        <v>0</v>
      </c>
      <c r="J67" s="10">
        <f>E67*'Physician Types'!$E$4</f>
        <v>44.614870625742007</v>
      </c>
      <c r="K67" s="10">
        <f t="shared" si="8"/>
        <v>0</v>
      </c>
    </row>
    <row r="68" spans="1:11" x14ac:dyDescent="0.2">
      <c r="A68" s="158">
        <v>5</v>
      </c>
      <c r="B68" s="102" t="s">
        <v>66</v>
      </c>
      <c r="C68" s="5">
        <f>SUMIFS(Physician_Visit_September,Physician_Visit_Practice,September!B68,Physician_Visit_Hospitalists, "&lt;&gt;"&amp;'Physician Types'!$D$81)+SUMIFS(Physician_Visit_September,Physician_Visit_Practice,September!B68,Physician_Visit_Hospitalists,'Physician Types'!$D$81)*INDEX(Physician_Type_Hospitalists_Visit_Minutes,MATCH(September!B68,Physician_Type_Practice,0))/INDEX(Physician_Type_Visit_Minutes,MATCH(September!B68,Physician_Type_Practice,0)) +SUMIF(Physician_Minutes_Practice,September!B68,Physician_Minutes_September)/INDEX(Physician_Type_Visit_Minutes,MATCH(September!B68,Physician_Type_Practice,0))</f>
        <v>0</v>
      </c>
      <c r="D68" s="43">
        <f t="shared" si="5"/>
        <v>0</v>
      </c>
      <c r="E68" s="17">
        <f>INDEX(Physician_Type_Bed_Rate,MATCH(September!B68,Physician_Type_Practice,0))*'Hospital Input Page'!$C$4</f>
        <v>4644.9427860571295</v>
      </c>
      <c r="F68" s="9">
        <f t="shared" si="7"/>
        <v>0</v>
      </c>
      <c r="H68" s="5">
        <f t="array" ref="H68">SUMIFS(Physician_Visit_September, Physician_Visit_Practice, September!B68, Independent_Contractor_Visits,  'Physician Types'!$D$81) + SUMIFS(Physician_Minutes_September,Physician_Minutes_Practice,September!B68, Independent_Contractor_Minutes, 'Physician Types'!$D$81)/INDEX(Physician_Type_Visit_Minutes,MATCH(September!B68,Physician_Type_Practice,0))</f>
        <v>0</v>
      </c>
      <c r="I68" s="43">
        <f t="shared" si="6"/>
        <v>0</v>
      </c>
      <c r="J68" s="10">
        <f>E68*'Physician Types'!$E$4</f>
        <v>139.34828358171387</v>
      </c>
      <c r="K68" s="10">
        <f t="shared" si="8"/>
        <v>0</v>
      </c>
    </row>
    <row r="69" spans="1:11" x14ac:dyDescent="0.2">
      <c r="A69" s="158">
        <v>2</v>
      </c>
      <c r="B69" s="107" t="s">
        <v>43</v>
      </c>
      <c r="C69" s="5">
        <f>SUMIFS(Physician_Visit_September,Physician_Visit_Practice,September!B69,Physician_Visit_Hospitalists, "&lt;&gt;"&amp;'Physician Types'!$D$81)+SUMIFS(Physician_Visit_September,Physician_Visit_Practice,September!B69,Physician_Visit_Hospitalists,'Physician Types'!$D$81)*INDEX(Physician_Type_Hospitalists_Visit_Minutes,MATCH(September!B69,Physician_Type_Practice,0))/INDEX(Physician_Type_Visit_Minutes,MATCH(September!B69,Physician_Type_Practice,0)) +SUMIF(Physician_Minutes_Practice,September!B69,Physician_Minutes_September)/INDEX(Physician_Type_Visit_Minutes,MATCH(September!B69,Physician_Type_Practice,0))</f>
        <v>0</v>
      </c>
      <c r="D69" s="43">
        <f t="shared" si="5"/>
        <v>0</v>
      </c>
      <c r="E69" s="17">
        <f>INDEX(Physician_Type_Bed_Rate,MATCH(September!B69,Physician_Type_Practice,0))*'Hospital Input Page'!$C$4</f>
        <v>2539.1052792690443</v>
      </c>
      <c r="F69" s="9">
        <f t="shared" si="7"/>
        <v>0</v>
      </c>
      <c r="H69" s="5">
        <f t="array" ref="H69">SUMIFS(Physician_Visit_September, Physician_Visit_Practice, September!B69, Independent_Contractor_Visits,  'Physician Types'!$D$81) + SUMIFS(Physician_Minutes_September,Physician_Minutes_Practice,September!B69, Independent_Contractor_Minutes, 'Physician Types'!$D$81)/INDEX(Physician_Type_Visit_Minutes,MATCH(September!B69,Physician_Type_Practice,0))</f>
        <v>0</v>
      </c>
      <c r="I69" s="43">
        <f t="shared" si="6"/>
        <v>0</v>
      </c>
      <c r="J69" s="10">
        <f>E69*'Physician Types'!$E$4</f>
        <v>76.173158378071321</v>
      </c>
      <c r="K69" s="10">
        <f t="shared" si="8"/>
        <v>0</v>
      </c>
    </row>
    <row r="70" spans="1:11" x14ac:dyDescent="0.2">
      <c r="A70" s="158">
        <v>2</v>
      </c>
      <c r="B70" s="107" t="s">
        <v>44</v>
      </c>
      <c r="C70" s="5">
        <f>SUMIFS(Physician_Visit_September,Physician_Visit_Practice,September!B70,Physician_Visit_Hospitalists, "&lt;&gt;"&amp;'Physician Types'!$D$81)+SUMIFS(Physician_Visit_September,Physician_Visit_Practice,September!B70,Physician_Visit_Hospitalists,'Physician Types'!$D$81)*INDEX(Physician_Type_Hospitalists_Visit_Minutes,MATCH(September!B70,Physician_Type_Practice,0))/INDEX(Physician_Type_Visit_Minutes,MATCH(September!B70,Physician_Type_Practice,0)) +SUMIF(Physician_Minutes_Practice,September!B70,Physician_Minutes_September)/INDEX(Physician_Type_Visit_Minutes,MATCH(September!B70,Physician_Type_Practice,0))</f>
        <v>0</v>
      </c>
      <c r="D70" s="43">
        <f t="shared" si="5"/>
        <v>0</v>
      </c>
      <c r="E70" s="17">
        <f>INDEX(Physician_Type_Bed_Rate,MATCH(September!B70,Physician_Type_Practice,0))*'Hospital Input Page'!$C$4</f>
        <v>1619.8750052216039</v>
      </c>
      <c r="F70" s="9">
        <f t="shared" si="7"/>
        <v>0</v>
      </c>
      <c r="H70" s="5">
        <f t="array" ref="H70">SUMIFS(Physician_Visit_September, Physician_Visit_Practice, September!B70, Independent_Contractor_Visits,  'Physician Types'!$D$81) + SUMIFS(Physician_Minutes_September,Physician_Minutes_Practice,September!B70, Independent_Contractor_Minutes, 'Physician Types'!$D$81)/INDEX(Physician_Type_Visit_Minutes,MATCH(September!B70,Physician_Type_Practice,0))</f>
        <v>0</v>
      </c>
      <c r="I70" s="43">
        <f t="shared" si="6"/>
        <v>0</v>
      </c>
      <c r="J70" s="10">
        <f>E70*'Physician Types'!$E$4</f>
        <v>48.596250156648118</v>
      </c>
      <c r="K70" s="10">
        <f t="shared" si="8"/>
        <v>0</v>
      </c>
    </row>
    <row r="71" spans="1:11" x14ac:dyDescent="0.2">
      <c r="A71" s="158">
        <v>2</v>
      </c>
      <c r="B71" s="161" t="s">
        <v>154</v>
      </c>
      <c r="C71" s="5">
        <f>SUMIFS(Physician_Visit_September,Physician_Visit_Practice,September!B71,Physician_Visit_Hospitalists, "&lt;&gt;"&amp;'Physician Types'!$D$81)+SUMIFS(Physician_Visit_September,Physician_Visit_Practice,September!B71,Physician_Visit_Hospitalists,'Physician Types'!$D$81)*INDEX(Physician_Type_Hospitalists_Visit_Minutes,MATCH(September!B71,Physician_Type_Practice,0))/INDEX(Physician_Type_Visit_Minutes,MATCH(September!B71,Physician_Type_Practice,0)) +SUMIF(Physician_Minutes_Practice,September!B71,Physician_Minutes_September)/INDEX(Physician_Type_Visit_Minutes,MATCH(September!B71,Physician_Type_Practice,0))</f>
        <v>0</v>
      </c>
      <c r="D71" s="43">
        <f t="shared" si="5"/>
        <v>0</v>
      </c>
      <c r="E71" s="17">
        <f>INDEX(Physician_Type_Bed_Rate,MATCH(September!B71,Physician_Type_Practice,0))*'Hospital Input Page'!$C$4</f>
        <v>1951.6566327971132</v>
      </c>
      <c r="F71" s="9">
        <f t="shared" si="7"/>
        <v>0</v>
      </c>
      <c r="H71" s="5">
        <f t="array" ref="H71">SUMIFS(Physician_Visit_September, Physician_Visit_Practice, September!B71, Independent_Contractor_Visits,  'Physician Types'!$D$81) + SUMIFS(Physician_Minutes_September,Physician_Minutes_Practice,September!B71, Independent_Contractor_Minutes, 'Physician Types'!$D$81)/INDEX(Physician_Type_Visit_Minutes,MATCH(September!B71,Physician_Type_Practice,0))</f>
        <v>0</v>
      </c>
      <c r="I71" s="43">
        <f t="shared" si="6"/>
        <v>0</v>
      </c>
      <c r="J71" s="10">
        <f>E71*'Physician Types'!$E$4</f>
        <v>58.549698983913395</v>
      </c>
      <c r="K71" s="10">
        <f t="shared" si="8"/>
        <v>0</v>
      </c>
    </row>
    <row r="72" spans="1:11" x14ac:dyDescent="0.2">
      <c r="A72" s="158">
        <v>4</v>
      </c>
      <c r="B72" s="102" t="s">
        <v>62</v>
      </c>
      <c r="C72" s="5">
        <f>SUMIFS(Physician_Visit_September,Physician_Visit_Practice,September!B72,Physician_Visit_Hospitalists, "&lt;&gt;"&amp;'Physician Types'!$D$81)+SUMIFS(Physician_Visit_September,Physician_Visit_Practice,September!B72,Physician_Visit_Hospitalists,'Physician Types'!$D$81)*INDEX(Physician_Type_Hospitalists_Visit_Minutes,MATCH(September!B72,Physician_Type_Practice,0))/INDEX(Physician_Type_Visit_Minutes,MATCH(September!B72,Physician_Type_Practice,0)) +SUMIF(Physician_Minutes_Practice,September!B72,Physician_Minutes_September)/INDEX(Physician_Type_Visit_Minutes,MATCH(September!B72,Physician_Type_Practice,0))</f>
        <v>0</v>
      </c>
      <c r="D72" s="43">
        <f t="shared" si="5"/>
        <v>0</v>
      </c>
      <c r="E72" s="17">
        <f>INDEX(Physician_Type_Bed_Rate,MATCH(September!B72,Physician_Type_Practice,0))*'Hospital Input Page'!$C$4</f>
        <v>2529.3469961050587</v>
      </c>
      <c r="F72" s="9">
        <f t="shared" si="7"/>
        <v>0</v>
      </c>
      <c r="H72" s="5">
        <f t="array" ref="H72">SUMIFS(Physician_Visit_September, Physician_Visit_Practice, September!B72, Independent_Contractor_Visits,  'Physician Types'!$D$81) + SUMIFS(Physician_Minutes_September,Physician_Minutes_Practice,September!B72, Independent_Contractor_Minutes, 'Physician Types'!$D$81)/INDEX(Physician_Type_Visit_Minutes,MATCH(September!B72,Physician_Type_Practice,0))</f>
        <v>0</v>
      </c>
      <c r="I72" s="43">
        <f t="shared" si="6"/>
        <v>0</v>
      </c>
      <c r="J72" s="10">
        <f>E72*'Physician Types'!$E$4</f>
        <v>75.880409883151756</v>
      </c>
      <c r="K72" s="10">
        <f t="shared" si="8"/>
        <v>0</v>
      </c>
    </row>
    <row r="73" spans="1:11" x14ac:dyDescent="0.2">
      <c r="A73" s="158">
        <v>2</v>
      </c>
      <c r="B73" s="107" t="s">
        <v>45</v>
      </c>
      <c r="C73" s="5">
        <f>SUMIFS(Physician_Visit_September,Physician_Visit_Practice,September!B73,Physician_Visit_Hospitalists, "&lt;&gt;"&amp;'Physician Types'!$D$81)+SUMIFS(Physician_Visit_September,Physician_Visit_Practice,September!B73,Physician_Visit_Hospitalists,'Physician Types'!$D$81)*INDEX(Physician_Type_Hospitalists_Visit_Minutes,MATCH(September!B73,Physician_Type_Practice,0))/INDEX(Physician_Type_Visit_Minutes,MATCH(September!B73,Physician_Type_Practice,0)) +SUMIF(Physician_Minutes_Practice,September!B73,Physician_Minutes_September)/INDEX(Physician_Type_Visit_Minutes,MATCH(September!B73,Physician_Type_Practice,0))</f>
        <v>0</v>
      </c>
      <c r="D73" s="43">
        <f t="shared" si="5"/>
        <v>0</v>
      </c>
      <c r="E73" s="17">
        <f>INDEX(Physician_Type_Bed_Rate,MATCH(September!B73,Physician_Type_Practice,0))*'Hospital Input Page'!$C$4</f>
        <v>4844.0117626024357</v>
      </c>
      <c r="F73" s="9">
        <f t="shared" si="7"/>
        <v>0</v>
      </c>
      <c r="H73" s="5">
        <f t="array" ref="H73">SUMIFS(Physician_Visit_September, Physician_Visit_Practice, September!B73, Independent_Contractor_Visits,  'Physician Types'!$D$81) + SUMIFS(Physician_Minutes_September,Physician_Minutes_Practice,September!B73, Independent_Contractor_Minutes, 'Physician Types'!$D$81)/INDEX(Physician_Type_Visit_Minutes,MATCH(September!B73,Physician_Type_Practice,0))</f>
        <v>0</v>
      </c>
      <c r="I73" s="43">
        <f t="shared" si="6"/>
        <v>0</v>
      </c>
      <c r="J73" s="10">
        <f>E73*'Physician Types'!$E$4</f>
        <v>145.32035287807307</v>
      </c>
      <c r="K73" s="10">
        <f t="shared" si="8"/>
        <v>0</v>
      </c>
    </row>
    <row r="74" spans="1:11" x14ac:dyDescent="0.2">
      <c r="A74" s="158">
        <v>4</v>
      </c>
      <c r="B74" s="107" t="s">
        <v>63</v>
      </c>
      <c r="C74" s="5">
        <f>SUMIFS(Physician_Visit_September,Physician_Visit_Practice,September!B74,Physician_Visit_Hospitalists, "&lt;&gt;"&amp;'Physician Types'!$D$81)+SUMIFS(Physician_Visit_September,Physician_Visit_Practice,September!B74,Physician_Visit_Hospitalists,'Physician Types'!$D$81)*INDEX(Physician_Type_Hospitalists_Visit_Minutes,MATCH(September!B74,Physician_Type_Practice,0))/INDEX(Physician_Type_Visit_Minutes,MATCH(September!B74,Physician_Type_Practice,0)) +SUMIF(Physician_Minutes_Practice,September!B74,Physician_Minutes_September)/INDEX(Physician_Type_Visit_Minutes,MATCH(September!B74,Physician_Type_Practice,0))</f>
        <v>0</v>
      </c>
      <c r="D74" s="43">
        <f t="shared" si="5"/>
        <v>0</v>
      </c>
      <c r="E74" s="17">
        <f>INDEX(Physician_Type_Bed_Rate,MATCH(September!B74,Physician_Type_Practice,0))*'Hospital Input Page'!$C$4</f>
        <v>2539.1052792690443</v>
      </c>
      <c r="F74" s="9">
        <f t="shared" si="7"/>
        <v>0</v>
      </c>
      <c r="H74" s="5">
        <f t="array" ref="H74">SUMIFS(Physician_Visit_September, Physician_Visit_Practice, September!B74, Independent_Contractor_Visits,  'Physician Types'!$D$81) + SUMIFS(Physician_Minutes_September,Physician_Minutes_Practice,September!B74, Independent_Contractor_Minutes, 'Physician Types'!$D$81)/INDEX(Physician_Type_Visit_Minutes,MATCH(September!B74,Physician_Type_Practice,0))</f>
        <v>0</v>
      </c>
      <c r="I74" s="43">
        <f t="shared" si="6"/>
        <v>0</v>
      </c>
      <c r="J74" s="10">
        <f>E74*'Physician Types'!$E$4</f>
        <v>76.173158378071321</v>
      </c>
      <c r="K74" s="10">
        <f t="shared" si="8"/>
        <v>0</v>
      </c>
    </row>
    <row r="75" spans="1:11" x14ac:dyDescent="0.2">
      <c r="A75" s="158">
        <v>2</v>
      </c>
      <c r="B75" s="107" t="s">
        <v>46</v>
      </c>
      <c r="C75" s="5">
        <f>SUMIFS(Physician_Visit_September,Physician_Visit_Practice,September!B75,Physician_Visit_Hospitalists, "&lt;&gt;"&amp;'Physician Types'!$D$81)+SUMIFS(Physician_Visit_September,Physician_Visit_Practice,September!B75,Physician_Visit_Hospitalists,'Physician Types'!$D$81)*INDEX(Physician_Type_Hospitalists_Visit_Minutes,MATCH(September!B75,Physician_Type_Practice,0))/INDEX(Physician_Type_Visit_Minutes,MATCH(September!B75,Physician_Type_Practice,0)) +SUMIF(Physician_Minutes_Practice,September!B75,Physician_Minutes_September)/INDEX(Physician_Type_Visit_Minutes,MATCH(September!B75,Physician_Type_Practice,0))</f>
        <v>0</v>
      </c>
      <c r="D75" s="43">
        <f t="shared" si="5"/>
        <v>0</v>
      </c>
      <c r="E75" s="17">
        <f>INDEX(Physician_Type_Bed_Rate,MATCH(September!B75,Physician_Type_Practice,0))*'Hospital Input Page'!$C$4</f>
        <v>1619.8750052216039</v>
      </c>
      <c r="F75" s="9">
        <f t="shared" si="7"/>
        <v>0</v>
      </c>
      <c r="H75" s="5">
        <f t="array" ref="H75">SUMIFS(Physician_Visit_September, Physician_Visit_Practice, September!B75, Independent_Contractor_Visits,  'Physician Types'!$D$81) + SUMIFS(Physician_Minutes_September,Physician_Minutes_Practice,September!B75, Independent_Contractor_Minutes, 'Physician Types'!$D$81)/INDEX(Physician_Type_Visit_Minutes,MATCH(September!B75,Physician_Type_Practice,0))</f>
        <v>0</v>
      </c>
      <c r="I75" s="43">
        <f t="shared" si="6"/>
        <v>0</v>
      </c>
      <c r="J75" s="10">
        <f>E75*'Physician Types'!$E$4</f>
        <v>48.596250156648118</v>
      </c>
      <c r="K75" s="10">
        <f t="shared" si="8"/>
        <v>0</v>
      </c>
    </row>
    <row r="76" spans="1:11" x14ac:dyDescent="0.2">
      <c r="A76" s="158">
        <v>3</v>
      </c>
      <c r="B76" s="102" t="s">
        <v>54</v>
      </c>
      <c r="C76" s="5">
        <f>SUMIFS(Physician_Visit_September,Physician_Visit_Practice,September!B76,Physician_Visit_Hospitalists, "&lt;&gt;"&amp;'Physician Types'!$D$81)+SUMIFS(Physician_Visit_September,Physician_Visit_Practice,September!B76,Physician_Visit_Hospitalists,'Physician Types'!$D$81)*INDEX(Physician_Type_Hospitalists_Visit_Minutes,MATCH(September!B76,Physician_Type_Practice,0))/INDEX(Physician_Type_Visit_Minutes,MATCH(September!B76,Physician_Type_Practice,0)) +SUMIF(Physician_Minutes_Practice,September!B76,Physician_Minutes_September)/INDEX(Physician_Type_Visit_Minutes,MATCH(September!B76,Physician_Type_Practice,0))</f>
        <v>0</v>
      </c>
      <c r="D76" s="43">
        <f t="shared" si="5"/>
        <v>0</v>
      </c>
      <c r="E76" s="17">
        <f>INDEX(Physician_Type_Bed_Rate,MATCH(September!B76,Physician_Type_Practice,0))*'Hospital Input Page'!$C$4</f>
        <v>2699.1411231584075</v>
      </c>
      <c r="F76" s="9">
        <f t="shared" si="7"/>
        <v>0</v>
      </c>
      <c r="H76" s="5">
        <f t="array" ref="H76">SUMIFS(Physician_Visit_September, Physician_Visit_Practice, September!B76, Independent_Contractor_Visits,  'Physician Types'!$D$81) + SUMIFS(Physician_Minutes_September,Physician_Minutes_Practice,September!B76, Independent_Contractor_Minutes, 'Physician Types'!$D$81)/INDEX(Physician_Type_Visit_Minutes,MATCH(September!B76,Physician_Type_Practice,0))</f>
        <v>0</v>
      </c>
      <c r="I76" s="43">
        <f t="shared" si="6"/>
        <v>0</v>
      </c>
      <c r="J76" s="10">
        <f>E76*'Physician Types'!$E$4</f>
        <v>80.974233694752215</v>
      </c>
      <c r="K76" s="10">
        <f t="shared" si="8"/>
        <v>0</v>
      </c>
    </row>
    <row r="77" spans="1:11" x14ac:dyDescent="0.2">
      <c r="A77" s="158">
        <v>3</v>
      </c>
      <c r="B77" s="102" t="s">
        <v>55</v>
      </c>
      <c r="C77" s="5">
        <f>SUMIFS(Physician_Visit_September,Physician_Visit_Practice,September!B77,Physician_Visit_Hospitalists, "&lt;&gt;"&amp;'Physician Types'!$D$81)+SUMIFS(Physician_Visit_September,Physician_Visit_Practice,September!B77,Physician_Visit_Hospitalists,'Physician Types'!$D$81)*INDEX(Physician_Type_Hospitalists_Visit_Minutes,MATCH(September!B77,Physician_Type_Practice,0))/INDEX(Physician_Type_Visit_Minutes,MATCH(September!B77,Physician_Type_Practice,0)) +SUMIF(Physician_Minutes_Practice,September!B77,Physician_Minutes_September)/INDEX(Physician_Type_Visit_Minutes,MATCH(September!B77,Physician_Type_Practice,0))</f>
        <v>0</v>
      </c>
      <c r="D77" s="43">
        <f t="shared" si="5"/>
        <v>0</v>
      </c>
      <c r="E77" s="17">
        <f>INDEX(Physician_Type_Bed_Rate,MATCH(September!B77,Physician_Type_Practice,0))*'Hospital Input Page'!$C$4</f>
        <v>2222.9369047559121</v>
      </c>
      <c r="F77" s="9">
        <f t="shared" si="7"/>
        <v>0</v>
      </c>
      <c r="H77" s="5">
        <f t="array" ref="H77">SUMIFS(Physician_Visit_September, Physician_Visit_Practice, September!B77, Independent_Contractor_Visits,  'Physician Types'!$D$81) + SUMIFS(Physician_Minutes_September,Physician_Minutes_Practice,September!B77, Independent_Contractor_Minutes, 'Physician Types'!$D$81)/INDEX(Physician_Type_Visit_Minutes,MATCH(September!B77,Physician_Type_Practice,0))</f>
        <v>0</v>
      </c>
      <c r="I77" s="43">
        <f t="shared" si="6"/>
        <v>0</v>
      </c>
      <c r="J77" s="10">
        <f>E77*'Physician Types'!$E$4</f>
        <v>66.688107142677367</v>
      </c>
      <c r="K77" s="10">
        <f t="shared" si="8"/>
        <v>0</v>
      </c>
    </row>
    <row r="78" spans="1:11" x14ac:dyDescent="0.2">
      <c r="A78" s="158">
        <v>8</v>
      </c>
      <c r="B78" s="102" t="s">
        <v>77</v>
      </c>
      <c r="C78" s="5">
        <f>SUMIFS(Physician_Visit_September,Physician_Visit_Practice,September!B78,Physician_Visit_Hospitalists, "&lt;&gt;"&amp;'Physician Types'!$D$81)+SUMIFS(Physician_Visit_September,Physician_Visit_Practice,September!B78,Physician_Visit_Hospitalists,'Physician Types'!$D$81)*INDEX(Physician_Type_Hospitalists_Visit_Minutes,MATCH(September!B78,Physician_Type_Practice,0))/INDEX(Physician_Type_Visit_Minutes,MATCH(September!B78,Physician_Type_Practice,0)) +SUMIF(Physician_Minutes_Practice,September!B78,Physician_Minutes_September)/INDEX(Physician_Type_Visit_Minutes,MATCH(September!B78,Physician_Type_Practice,0))</f>
        <v>0</v>
      </c>
      <c r="D78" s="43">
        <f t="shared" ref="D78:D110" si="9">C78*INDEX(Physician_Type_Visit_Minutes,MATCH(B78,Physician_Type_Practice,0))/INDEX(Physician_Type_FTE_Minutes,MATCH(B78,Physician_Type_Practice,0))</f>
        <v>0</v>
      </c>
      <c r="E78" s="17">
        <f>INDEX(Physician_Type_Bed_Rate,MATCH(September!B78,Physician_Type_Practice,0))*'Hospital Input Page'!$C$4</f>
        <v>11024.908318670894</v>
      </c>
      <c r="F78" s="9">
        <f t="shared" si="7"/>
        <v>0</v>
      </c>
      <c r="H78" s="5">
        <f t="array" ref="H78">SUMIFS(Physician_Visit_September, Physician_Visit_Practice, September!B78, Independent_Contractor_Visits,  'Physician Types'!$D$81) + SUMIFS(Physician_Minutes_September,Physician_Minutes_Practice,September!B78, Independent_Contractor_Minutes, 'Physician Types'!$D$81)/INDEX(Physician_Type_Visit_Minutes,MATCH(September!B78,Physician_Type_Practice,0))</f>
        <v>0</v>
      </c>
      <c r="I78" s="43">
        <f t="shared" ref="I78:I110" si="10">H78*INDEX(Physician_Type_Visit_Minutes,MATCH(B78,Physician_Type_Practice,0))/INDEX(Physician_Type_FTE_Minutes,MATCH(B78,Physician_Type_Practice,0))</f>
        <v>0</v>
      </c>
      <c r="J78" s="10">
        <f>E78*'Physician Types'!$E$4</f>
        <v>330.74724956012682</v>
      </c>
      <c r="K78" s="10">
        <f t="shared" si="8"/>
        <v>0</v>
      </c>
    </row>
    <row r="79" spans="1:11" x14ac:dyDescent="0.2">
      <c r="A79" s="158"/>
      <c r="B79" s="102" t="s">
        <v>79</v>
      </c>
      <c r="C79" s="5">
        <f>SUMIFS(Physician_Visit_September,Physician_Visit_Practice,September!B79,Physician_Visit_Hospitalists, "&lt;&gt;"&amp;'Physician Types'!$D$81)+SUMIFS(Physician_Visit_September,Physician_Visit_Practice,September!B79,Physician_Visit_Hospitalists,'Physician Types'!$D$81)*INDEX(Physician_Type_Hospitalists_Visit_Minutes,MATCH(September!B79,Physician_Type_Practice,0))/INDEX(Physician_Type_Visit_Minutes,MATCH(September!B79,Physician_Type_Practice,0)) +SUMIF(Physician_Minutes_Practice,September!B79,Physician_Minutes_September)/INDEX(Physician_Type_Visit_Minutes,MATCH(September!B79,Physician_Type_Practice,0))</f>
        <v>0</v>
      </c>
      <c r="D79" s="43">
        <f t="shared" si="9"/>
        <v>0</v>
      </c>
      <c r="E79" s="17">
        <f>INDEX(Physician_Type_Bed_Rate,MATCH(September!B79,Physician_Type_Practice,0))*'Hospital Input Page'!$C$4</f>
        <v>858.72891843072989</v>
      </c>
      <c r="F79" s="9">
        <f t="shared" si="7"/>
        <v>0</v>
      </c>
      <c r="H79" s="5">
        <f t="array" ref="H79">SUMIFS(Physician_Visit_September, Physician_Visit_Practice, September!B79, Independent_Contractor_Visits,  'Physician Types'!$D$81) + SUMIFS(Physician_Minutes_September,Physician_Minutes_Practice,September!B79, Independent_Contractor_Minutes, 'Physician Types'!$D$81)/INDEX(Physician_Type_Visit_Minutes,MATCH(September!B79,Physician_Type_Practice,0))</f>
        <v>0</v>
      </c>
      <c r="I79" s="43">
        <f t="shared" si="10"/>
        <v>0</v>
      </c>
      <c r="J79" s="10">
        <f>E79*'Physician Types'!$E$4</f>
        <v>25.761867552921895</v>
      </c>
      <c r="K79" s="10">
        <f t="shared" si="8"/>
        <v>0</v>
      </c>
    </row>
    <row r="80" spans="1:11" x14ac:dyDescent="0.2">
      <c r="A80" s="158">
        <v>5</v>
      </c>
      <c r="B80" s="102" t="s">
        <v>67</v>
      </c>
      <c r="C80" s="5">
        <f>SUMIFS(Physician_Visit_September,Physician_Visit_Practice,September!B80,Physician_Visit_Hospitalists, "&lt;&gt;"&amp;'Physician Types'!$D$81)+SUMIFS(Physician_Visit_September,Physician_Visit_Practice,September!B80,Physician_Visit_Hospitalists,'Physician Types'!$D$81)*INDEX(Physician_Type_Hospitalists_Visit_Minutes,MATCH(September!B80,Physician_Type_Practice,0))/INDEX(Physician_Type_Visit_Minutes,MATCH(September!B80,Physician_Type_Practice,0)) +SUMIF(Physician_Minutes_Practice,September!B80,Physician_Minutes_September)/INDEX(Physician_Type_Visit_Minutes,MATCH(September!B80,Physician_Type_Practice,0))</f>
        <v>0</v>
      </c>
      <c r="D80" s="43">
        <f t="shared" si="9"/>
        <v>0</v>
      </c>
      <c r="E80" s="17">
        <f>INDEX(Physician_Type_Bed_Rate,MATCH(September!B80,Physician_Type_Practice,0))*'Hospital Input Page'!$C$4</f>
        <v>1955.5599460627077</v>
      </c>
      <c r="F80" s="9">
        <f t="shared" si="7"/>
        <v>0</v>
      </c>
      <c r="H80" s="5">
        <f t="array" ref="H80">SUMIFS(Physician_Visit_September, Physician_Visit_Practice, September!B80, Independent_Contractor_Visits,  'Physician Types'!$D$81) + SUMIFS(Physician_Minutes_September,Physician_Minutes_Practice,September!B80, Independent_Contractor_Minutes, 'Physician Types'!$D$81)/INDEX(Physician_Type_Visit_Minutes,MATCH(September!B80,Physician_Type_Practice,0))</f>
        <v>0</v>
      </c>
      <c r="I80" s="43">
        <f t="shared" si="10"/>
        <v>0</v>
      </c>
      <c r="J80" s="10">
        <f>E80*'Physician Types'!$E$4</f>
        <v>58.666798381881229</v>
      </c>
      <c r="K80" s="10">
        <f t="shared" si="8"/>
        <v>0</v>
      </c>
    </row>
    <row r="81" spans="1:11" x14ac:dyDescent="0.2">
      <c r="A81" s="158"/>
      <c r="B81" s="102" t="s">
        <v>80</v>
      </c>
      <c r="C81" s="5">
        <f>SUMIFS(Physician_Visit_September,Physician_Visit_Practice,September!B81,Physician_Visit_Hospitalists, "&lt;&gt;"&amp;'Physician Types'!$D$81)+SUMIFS(Physician_Visit_September,Physician_Visit_Practice,September!B81,Physician_Visit_Hospitalists,'Physician Types'!$D$81)*INDEX(Physician_Type_Hospitalists_Visit_Minutes,MATCH(September!B81,Physician_Type_Practice,0))/INDEX(Physician_Type_Visit_Minutes,MATCH(September!B81,Physician_Type_Practice,0)) +SUMIF(Physician_Minutes_Practice,September!B81,Physician_Minutes_September)/INDEX(Physician_Type_Visit_Minutes,MATCH(September!B81,Physician_Type_Practice,0))</f>
        <v>0</v>
      </c>
      <c r="D81" s="43">
        <f t="shared" si="9"/>
        <v>0</v>
      </c>
      <c r="E81" s="17">
        <f>INDEX(Physician_Type_Bed_Rate,MATCH(September!B81,Physician_Type_Practice,0))*'Hospital Input Page'!$C$4</f>
        <v>493.76912809766964</v>
      </c>
      <c r="F81" s="9">
        <f t="shared" si="7"/>
        <v>0</v>
      </c>
      <c r="H81" s="5">
        <f t="array" ref="H81">SUMIFS(Physician_Visit_September, Physician_Visit_Practice, September!B81, Independent_Contractor_Visits,  'Physician Types'!$D$81) + SUMIFS(Physician_Minutes_September,Physician_Minutes_Practice,September!B81, Independent_Contractor_Minutes, 'Physician Types'!$D$81)/INDEX(Physician_Type_Visit_Minutes,MATCH(September!B81,Physician_Type_Practice,0))</f>
        <v>0</v>
      </c>
      <c r="I81" s="43">
        <f t="shared" si="10"/>
        <v>0</v>
      </c>
      <c r="J81" s="10">
        <f>E81*'Physician Types'!$E$4</f>
        <v>14.813073842930088</v>
      </c>
      <c r="K81" s="10">
        <f t="shared" si="8"/>
        <v>0</v>
      </c>
    </row>
    <row r="82" spans="1:11" x14ac:dyDescent="0.2">
      <c r="A82" s="158">
        <v>8</v>
      </c>
      <c r="B82" s="128" t="s">
        <v>139</v>
      </c>
      <c r="C82" s="5">
        <f>SUMIFS(Physician_Visit_September,Physician_Visit_Practice,September!B82,Physician_Visit_Hospitalists, "&lt;&gt;"&amp;'Physician Types'!$D$81)+SUMIFS(Physician_Visit_September,Physician_Visit_Practice,September!B82,Physician_Visit_Hospitalists,'Physician Types'!$D$81)*INDEX(Physician_Type_Hospitalists_Visit_Minutes,MATCH(September!B82,Physician_Type_Practice,0))/INDEX(Physician_Type_Visit_Minutes,MATCH(September!B82,Physician_Type_Practice,0)) +SUMIF(Physician_Minutes_Practice,September!B82,Physician_Minutes_September)/INDEX(Physician_Type_Visit_Minutes,MATCH(September!B82,Physician_Type_Practice,0))</f>
        <v>0</v>
      </c>
      <c r="D82" s="43">
        <f t="shared" si="9"/>
        <v>0</v>
      </c>
      <c r="E82" s="17">
        <f>INDEX(Physician_Type_Bed_Rate,MATCH(September!B82,Physician_Type_Practice,0))*'Hospital Input Page'!$C$4</f>
        <v>8509.2229189954141</v>
      </c>
      <c r="F82" s="9">
        <f t="shared" si="7"/>
        <v>0</v>
      </c>
      <c r="H82" s="5">
        <f t="array" ref="H82">SUMIFS(Physician_Visit_September, Physician_Visit_Practice, September!B82, Independent_Contractor_Visits,  'Physician Types'!$D$81) + SUMIFS(Physician_Minutes_September,Physician_Minutes_Practice,September!B82, Independent_Contractor_Minutes, 'Physician Types'!$D$81)/INDEX(Physician_Type_Visit_Minutes,MATCH(September!B82,Physician_Type_Practice,0))</f>
        <v>0</v>
      </c>
      <c r="I82" s="43">
        <f t="shared" si="10"/>
        <v>0</v>
      </c>
      <c r="J82" s="10">
        <f>E82*'Physician Types'!$E$4</f>
        <v>255.27668756986242</v>
      </c>
      <c r="K82" s="10">
        <f t="shared" si="8"/>
        <v>0</v>
      </c>
    </row>
    <row r="83" spans="1:11" x14ac:dyDescent="0.2">
      <c r="A83" s="158">
        <v>8</v>
      </c>
      <c r="B83" s="102" t="s">
        <v>78</v>
      </c>
      <c r="C83" s="5">
        <f>SUMIFS(Physician_Visit_September,Physician_Visit_Practice,September!B83,Physician_Visit_Hospitalists, "&lt;&gt;"&amp;'Physician Types'!$D$81)+SUMIFS(Physician_Visit_September,Physician_Visit_Practice,September!B83,Physician_Visit_Hospitalists,'Physician Types'!$D$81)*INDEX(Physician_Type_Hospitalists_Visit_Minutes,MATCH(September!B83,Physician_Type_Practice,0))/INDEX(Physician_Type_Visit_Minutes,MATCH(September!B83,Physician_Type_Practice,0)) +SUMIF(Physician_Minutes_Practice,September!B83,Physician_Minutes_September)/INDEX(Physician_Type_Visit_Minutes,MATCH(September!B83,Physician_Type_Practice,0))</f>
        <v>0</v>
      </c>
      <c r="D83" s="43">
        <f t="shared" si="9"/>
        <v>0</v>
      </c>
      <c r="E83" s="17">
        <f>INDEX(Physician_Type_Bed_Rate,MATCH(September!B83,Physician_Type_Practice,0))*'Hospital Input Page'!$C$4</f>
        <v>8509.2229189954141</v>
      </c>
      <c r="F83" s="9">
        <f t="shared" si="7"/>
        <v>0</v>
      </c>
      <c r="H83" s="5">
        <f t="array" ref="H83">SUMIFS(Physician_Visit_September, Physician_Visit_Practice, September!B83, Independent_Contractor_Visits,  'Physician Types'!$D$81) + SUMIFS(Physician_Minutes_September,Physician_Minutes_Practice,September!B83, Independent_Contractor_Minutes, 'Physician Types'!$D$81)/INDEX(Physician_Type_Visit_Minutes,MATCH(September!B83,Physician_Type_Practice,0))</f>
        <v>0</v>
      </c>
      <c r="I83" s="43">
        <f t="shared" si="10"/>
        <v>0</v>
      </c>
      <c r="J83" s="10">
        <f>E83*'Physician Types'!$E$4</f>
        <v>255.27668756986242</v>
      </c>
      <c r="K83" s="10">
        <f t="shared" si="8"/>
        <v>0</v>
      </c>
    </row>
    <row r="84" spans="1:11" x14ac:dyDescent="0.2">
      <c r="A84" s="158">
        <v>2</v>
      </c>
      <c r="B84" s="107" t="s">
        <v>47</v>
      </c>
      <c r="C84" s="5">
        <f>SUMIFS(Physician_Visit_September,Physician_Visit_Practice,September!B84,Physician_Visit_Hospitalists, "&lt;&gt;"&amp;'Physician Types'!$D$81)+SUMIFS(Physician_Visit_September,Physician_Visit_Practice,September!B84,Physician_Visit_Hospitalists,'Physician Types'!$D$81)*INDEX(Physician_Type_Hospitalists_Visit_Minutes,MATCH(September!B84,Physician_Type_Practice,0))/INDEX(Physician_Type_Visit_Minutes,MATCH(September!B84,Physician_Type_Practice,0)) +SUMIF(Physician_Minutes_Practice,September!B84,Physician_Minutes_September)/INDEX(Physician_Type_Visit_Minutes,MATCH(September!B84,Physician_Type_Practice,0))</f>
        <v>0</v>
      </c>
      <c r="D84" s="43">
        <f t="shared" si="9"/>
        <v>0</v>
      </c>
      <c r="E84" s="17">
        <f>INDEX(Physician_Type_Bed_Rate,MATCH(September!B84,Physician_Type_Practice,0))*'Hospital Input Page'!$C$4</f>
        <v>1727.2161200254454</v>
      </c>
      <c r="F84" s="9">
        <f t="shared" si="7"/>
        <v>0</v>
      </c>
      <c r="H84" s="5">
        <f t="array" ref="H84">SUMIFS(Physician_Visit_September, Physician_Visit_Practice, September!B84, Independent_Contractor_Visits,  'Physician Types'!$D$81) + SUMIFS(Physician_Minutes_September,Physician_Minutes_Practice,September!B84, Independent_Contractor_Minutes, 'Physician Types'!$D$81)/INDEX(Physician_Type_Visit_Minutes,MATCH(September!B84,Physician_Type_Practice,0))</f>
        <v>0</v>
      </c>
      <c r="I84" s="43">
        <f t="shared" si="10"/>
        <v>0</v>
      </c>
      <c r="J84" s="10">
        <f>E84*'Physician Types'!$E$4</f>
        <v>51.816483600763362</v>
      </c>
      <c r="K84" s="10">
        <f t="shared" si="8"/>
        <v>0</v>
      </c>
    </row>
    <row r="85" spans="1:11" x14ac:dyDescent="0.2">
      <c r="A85" s="158">
        <v>3</v>
      </c>
      <c r="B85" s="102" t="s">
        <v>56</v>
      </c>
      <c r="C85" s="5">
        <f>SUMIFS(Physician_Visit_September,Physician_Visit_Practice,September!B85,Physician_Visit_Hospitalists, "&lt;&gt;"&amp;'Physician Types'!$D$81)+SUMIFS(Physician_Visit_September,Physician_Visit_Practice,September!B85,Physician_Visit_Hospitalists,'Physician Types'!$D$81)*INDEX(Physician_Type_Hospitalists_Visit_Minutes,MATCH(September!B85,Physician_Type_Practice,0))/INDEX(Physician_Type_Visit_Minutes,MATCH(September!B85,Physician_Type_Practice,0)) +SUMIF(Physician_Minutes_Practice,September!B85,Physician_Minutes_September)/INDEX(Physician_Type_Visit_Minutes,MATCH(September!B85,Physician_Type_Practice,0))</f>
        <v>0</v>
      </c>
      <c r="D85" s="43">
        <f t="shared" si="9"/>
        <v>0</v>
      </c>
      <c r="E85" s="17">
        <f>INDEX(Physician_Type_Bed_Rate,MATCH(September!B85,Physician_Type_Practice,0))*'Hospital Input Page'!$C$4</f>
        <v>1842.3638613604746</v>
      </c>
      <c r="F85" s="9">
        <f t="shared" si="7"/>
        <v>0</v>
      </c>
      <c r="H85" s="5">
        <f t="array" ref="H85">SUMIFS(Physician_Visit_September, Physician_Visit_Practice, September!B85, Independent_Contractor_Visits,  'Physician Types'!$D$81) + SUMIFS(Physician_Minutes_September,Physician_Minutes_Practice,September!B85, Independent_Contractor_Minutes, 'Physician Types'!$D$81)/INDEX(Physician_Type_Visit_Minutes,MATCH(September!B85,Physician_Type_Practice,0))</f>
        <v>0</v>
      </c>
      <c r="I85" s="43">
        <f t="shared" si="10"/>
        <v>0</v>
      </c>
      <c r="J85" s="10">
        <f>E85*'Physician Types'!$E$4</f>
        <v>55.27091584081424</v>
      </c>
      <c r="K85" s="10">
        <f t="shared" si="8"/>
        <v>0</v>
      </c>
    </row>
    <row r="86" spans="1:11" x14ac:dyDescent="0.2">
      <c r="A86" s="158">
        <v>3</v>
      </c>
      <c r="B86" s="102" t="s">
        <v>57</v>
      </c>
      <c r="C86" s="5">
        <f>SUMIFS(Physician_Visit_September,Physician_Visit_Practice,September!B86,Physician_Visit_Hospitalists, "&lt;&gt;"&amp;'Physician Types'!$D$81)+SUMIFS(Physician_Visit_September,Physician_Visit_Practice,September!B86,Physician_Visit_Hospitalists,'Physician Types'!$D$81)*INDEX(Physician_Type_Hospitalists_Visit_Minutes,MATCH(September!B86,Physician_Type_Practice,0))/INDEX(Physician_Type_Visit_Minutes,MATCH(September!B86,Physician_Type_Practice,0)) +SUMIF(Physician_Minutes_Practice,September!B86,Physician_Minutes_September)/INDEX(Physician_Type_Visit_Minutes,MATCH(September!B86,Physician_Type_Practice,0))</f>
        <v>0</v>
      </c>
      <c r="D86" s="43">
        <f t="shared" si="9"/>
        <v>0</v>
      </c>
      <c r="E86" s="17">
        <f>INDEX(Physician_Type_Bed_Rate,MATCH(September!B86,Physician_Type_Practice,0))*'Hospital Input Page'!$C$4</f>
        <v>1165.1390097798767</v>
      </c>
      <c r="F86" s="9">
        <f t="shared" si="7"/>
        <v>0</v>
      </c>
      <c r="H86" s="5">
        <f t="array" ref="H86">SUMIFS(Physician_Visit_September, Physician_Visit_Practice, September!B86, Independent_Contractor_Visits,  'Physician Types'!$D$81) + SUMIFS(Physician_Minutes_September,Physician_Minutes_Practice,September!B86, Independent_Contractor_Minutes, 'Physician Types'!$D$81)/INDEX(Physician_Type_Visit_Minutes,MATCH(September!B86,Physician_Type_Practice,0))</f>
        <v>0</v>
      </c>
      <c r="I86" s="43">
        <f t="shared" si="10"/>
        <v>0</v>
      </c>
      <c r="J86" s="10">
        <f>E86*'Physician Types'!$E$4</f>
        <v>34.954170293396302</v>
      </c>
      <c r="K86" s="10">
        <f t="shared" si="8"/>
        <v>0</v>
      </c>
    </row>
    <row r="87" spans="1:11" x14ac:dyDescent="0.2">
      <c r="A87" s="158">
        <v>3</v>
      </c>
      <c r="B87" s="102" t="s">
        <v>58</v>
      </c>
      <c r="C87" s="5">
        <f>SUMIFS(Physician_Visit_September,Physician_Visit_Practice,September!B87,Physician_Visit_Hospitalists, "&lt;&gt;"&amp;'Physician Types'!$D$81)+SUMIFS(Physician_Visit_September,Physician_Visit_Practice,September!B87,Physician_Visit_Hospitalists,'Physician Types'!$D$81)*INDEX(Physician_Type_Hospitalists_Visit_Minutes,MATCH(September!B87,Physician_Type_Practice,0))/INDEX(Physician_Type_Visit_Minutes,MATCH(September!B87,Physician_Type_Practice,0)) +SUMIF(Physician_Minutes_Practice,September!B87,Physician_Minutes_September)/INDEX(Physician_Type_Visit_Minutes,MATCH(September!B87,Physician_Type_Practice,0))</f>
        <v>0</v>
      </c>
      <c r="D87" s="43">
        <f t="shared" si="9"/>
        <v>0</v>
      </c>
      <c r="E87" s="17">
        <f>INDEX(Physician_Type_Bed_Rate,MATCH(September!B87,Physician_Type_Practice,0))*'Hospital Input Page'!$C$4</f>
        <v>2406.3926282388406</v>
      </c>
      <c r="F87" s="9">
        <f t="shared" si="7"/>
        <v>0</v>
      </c>
      <c r="H87" s="5">
        <f t="array" ref="H87">SUMIFS(Physician_Visit_September, Physician_Visit_Practice, September!B87, Independent_Contractor_Visits,  'Physician Types'!$D$81) + SUMIFS(Physician_Minutes_September,Physician_Minutes_Practice,September!B87, Independent_Contractor_Minutes, 'Physician Types'!$D$81)/INDEX(Physician_Type_Visit_Minutes,MATCH(September!B87,Physician_Type_Practice,0))</f>
        <v>0</v>
      </c>
      <c r="I87" s="43">
        <f t="shared" si="10"/>
        <v>0</v>
      </c>
      <c r="J87" s="10">
        <f>E87*'Physician Types'!$E$4</f>
        <v>72.19177884716521</v>
      </c>
      <c r="K87" s="10">
        <f t="shared" si="8"/>
        <v>0</v>
      </c>
    </row>
    <row r="88" spans="1:11" x14ac:dyDescent="0.2">
      <c r="A88" s="158">
        <v>7</v>
      </c>
      <c r="B88" s="102" t="s">
        <v>73</v>
      </c>
      <c r="C88" s="5">
        <f>SUMIFS(Physician_Visit_September,Physician_Visit_Practice,September!B88,Physician_Visit_Hospitalists, "&lt;&gt;"&amp;'Physician Types'!$D$81)+SUMIFS(Physician_Visit_September,Physician_Visit_Practice,September!B88,Physician_Visit_Hospitalists,'Physician Types'!$D$81)*INDEX(Physician_Type_Hospitalists_Visit_Minutes,MATCH(September!B88,Physician_Type_Practice,0))/INDEX(Physician_Type_Visit_Minutes,MATCH(September!B88,Physician_Type_Practice,0)) +SUMIF(Physician_Minutes_Practice,September!B88,Physician_Minutes_September)/INDEX(Physician_Type_Visit_Minutes,MATCH(September!B88,Physician_Type_Practice,0))</f>
        <v>0</v>
      </c>
      <c r="D88" s="43">
        <f t="shared" si="9"/>
        <v>0</v>
      </c>
      <c r="E88" s="17">
        <f>INDEX(Physician_Type_Bed_Rate,MATCH(September!B88,Physician_Type_Practice,0))*'Hospital Input Page'!$C$4</f>
        <v>7172.3381255293916</v>
      </c>
      <c r="F88" s="9">
        <f t="shared" si="7"/>
        <v>0</v>
      </c>
      <c r="H88" s="5">
        <f t="array" ref="H88">SUMIFS(Physician_Visit_September, Physician_Visit_Practice, September!B88, Independent_Contractor_Visits,  'Physician Types'!$D$81) + SUMIFS(Physician_Minutes_September,Physician_Minutes_Practice,September!B88, Independent_Contractor_Minutes, 'Physician Types'!$D$81)/INDEX(Physician_Type_Visit_Minutes,MATCH(September!B88,Physician_Type_Practice,0))</f>
        <v>0</v>
      </c>
      <c r="I88" s="43">
        <f t="shared" si="10"/>
        <v>0</v>
      </c>
      <c r="J88" s="10">
        <f>E88*'Physician Types'!$E$4</f>
        <v>215.17014376588173</v>
      </c>
      <c r="K88" s="10">
        <f t="shared" si="8"/>
        <v>0</v>
      </c>
    </row>
    <row r="89" spans="1:11" x14ac:dyDescent="0.2">
      <c r="A89" s="158">
        <v>7</v>
      </c>
      <c r="B89" s="128" t="s">
        <v>74</v>
      </c>
      <c r="C89" s="5">
        <f>SUMIFS(Physician_Visit_September,Physician_Visit_Practice,September!B89,Physician_Visit_Hospitalists, "&lt;&gt;"&amp;'Physician Types'!$D$81)+SUMIFS(Physician_Visit_September,Physician_Visit_Practice,September!B89,Physician_Visit_Hospitalists,'Physician Types'!$D$81)*INDEX(Physician_Type_Hospitalists_Visit_Minutes,MATCH(September!B89,Physician_Type_Practice,0))/INDEX(Physician_Type_Visit_Minutes,MATCH(September!B89,Physician_Type_Practice,0)) +SUMIF(Physician_Minutes_Practice,September!B89,Physician_Minutes_September)/INDEX(Physician_Type_Visit_Minutes,MATCH(September!B89,Physician_Type_Practice,0))</f>
        <v>0</v>
      </c>
      <c r="D89" s="43">
        <f t="shared" si="9"/>
        <v>0</v>
      </c>
      <c r="E89" s="17">
        <f>INDEX(Physician_Type_Bed_Rate,MATCH(September!B89,Physician_Type_Practice,0))*'Hospital Input Page'!$C$4</f>
        <v>4073.1073926475756</v>
      </c>
      <c r="F89" s="9">
        <f t="shared" si="7"/>
        <v>0</v>
      </c>
      <c r="H89" s="5">
        <f t="array" ref="H89">SUMIFS(Physician_Visit_September, Physician_Visit_Practice, September!B89, Independent_Contractor_Visits,  'Physician Types'!$D$81) + SUMIFS(Physician_Minutes_September,Physician_Minutes_Practice,September!B89, Independent_Contractor_Minutes, 'Physician Types'!$D$81)/INDEX(Physician_Type_Visit_Minutes,MATCH(September!B89,Physician_Type_Practice,0))</f>
        <v>0</v>
      </c>
      <c r="I89" s="43">
        <f t="shared" si="10"/>
        <v>0</v>
      </c>
      <c r="J89" s="10">
        <f>E89*'Physician Types'!$E$4</f>
        <v>122.19322177942726</v>
      </c>
      <c r="K89" s="10">
        <f t="shared" si="8"/>
        <v>0</v>
      </c>
    </row>
    <row r="90" spans="1:11" x14ac:dyDescent="0.2">
      <c r="A90" s="158">
        <v>4</v>
      </c>
      <c r="B90" s="128" t="s">
        <v>146</v>
      </c>
      <c r="C90" s="5">
        <f>SUMIFS(Physician_Visit_September,Physician_Visit_Practice,September!B90,Physician_Visit_Hospitalists, "&lt;&gt;"&amp;'Physician Types'!$D$81)+SUMIFS(Physician_Visit_September,Physician_Visit_Practice,September!B90,Physician_Visit_Hospitalists,'Physician Types'!$D$81)*INDEX(Physician_Type_Hospitalists_Visit_Minutes,MATCH(September!B90,Physician_Type_Practice,0))/INDEX(Physician_Type_Visit_Minutes,MATCH(September!B90,Physician_Type_Practice,0)) +SUMIF(Physician_Minutes_Practice,September!B90,Physician_Minutes_September)/INDEX(Physician_Type_Visit_Minutes,MATCH(September!B90,Physician_Type_Practice,0))</f>
        <v>0</v>
      </c>
      <c r="D90" s="43">
        <f t="shared" si="9"/>
        <v>0</v>
      </c>
      <c r="E90" s="17">
        <f>INDEX(Physician_Type_Bed_Rate,MATCH(September!B90,Physician_Type_Practice,0))*'Hospital Input Page'!$C$4</f>
        <v>2997.7445879763663</v>
      </c>
      <c r="F90" s="9">
        <f t="shared" si="7"/>
        <v>0</v>
      </c>
      <c r="H90" s="5">
        <f t="array" ref="H90">SUMIFS(Physician_Visit_September, Physician_Visit_Practice, September!B90, Independent_Contractor_Visits,  'Physician Types'!$D$81) + SUMIFS(Physician_Minutes_September,Physician_Minutes_Practice,September!B90, Independent_Contractor_Minutes, 'Physician Types'!$D$81)/INDEX(Physician_Type_Visit_Minutes,MATCH(September!B90,Physician_Type_Practice,0))</f>
        <v>0</v>
      </c>
      <c r="I90" s="43">
        <f t="shared" si="10"/>
        <v>0</v>
      </c>
      <c r="J90" s="10">
        <f>E90*'Physician Types'!$E$4</f>
        <v>89.932337639290992</v>
      </c>
      <c r="K90" s="10">
        <f t="shared" si="8"/>
        <v>0</v>
      </c>
    </row>
    <row r="91" spans="1:11" x14ac:dyDescent="0.2">
      <c r="A91" s="158">
        <v>6</v>
      </c>
      <c r="B91" s="128" t="s">
        <v>71</v>
      </c>
      <c r="C91" s="5">
        <f>SUMIFS(Physician_Visit_September,Physician_Visit_Practice,September!B91,Physician_Visit_Hospitalists, "&lt;&gt;"&amp;'Physician Types'!$D$81)+SUMIFS(Physician_Visit_September,Physician_Visit_Practice,September!B91,Physician_Visit_Hospitalists,'Physician Types'!$D$81)*INDEX(Physician_Type_Hospitalists_Visit_Minutes,MATCH(September!B91,Physician_Type_Practice,0))/INDEX(Physician_Type_Visit_Minutes,MATCH(September!B91,Physician_Type_Practice,0)) +SUMIF(Physician_Minutes_Practice,September!B91,Physician_Minutes_September)/INDEX(Physician_Type_Visit_Minutes,MATCH(September!B91,Physician_Type_Practice,0))</f>
        <v>0</v>
      </c>
      <c r="D91" s="43">
        <f t="shared" si="9"/>
        <v>0</v>
      </c>
      <c r="E91" s="17">
        <f>INDEX(Physician_Type_Bed_Rate,MATCH(September!B91,Physician_Type_Practice,0))*'Hospital Input Page'!$C$4</f>
        <v>4912.3197447503335</v>
      </c>
      <c r="F91" s="9">
        <f t="shared" si="7"/>
        <v>0</v>
      </c>
      <c r="H91" s="5">
        <f t="array" ref="H91">SUMIFS(Physician_Visit_September, Physician_Visit_Practice, September!B91, Independent_Contractor_Visits,  'Physician Types'!$D$81) + SUMIFS(Physician_Minutes_September,Physician_Minutes_Practice,September!B91, Independent_Contractor_Minutes, 'Physician Types'!$D$81)/INDEX(Physician_Type_Visit_Minutes,MATCH(September!B91,Physician_Type_Practice,0))</f>
        <v>0</v>
      </c>
      <c r="I91" s="43">
        <f t="shared" si="10"/>
        <v>0</v>
      </c>
      <c r="J91" s="10">
        <f>E91*'Physician Types'!$E$4</f>
        <v>147.36959234251</v>
      </c>
      <c r="K91" s="10">
        <f t="shared" si="8"/>
        <v>0</v>
      </c>
    </row>
    <row r="92" spans="1:11" x14ac:dyDescent="0.2">
      <c r="A92" s="158">
        <v>4</v>
      </c>
      <c r="B92" s="128" t="s">
        <v>152</v>
      </c>
      <c r="C92" s="5">
        <f>SUMIFS(Physician_Visit_September,Physician_Visit_Practice,September!B92,Physician_Visit_Hospitalists, "&lt;&gt;"&amp;'Physician Types'!$D$81)+SUMIFS(Physician_Visit_September,Physician_Visit_Practice,September!B92,Physician_Visit_Hospitalists,'Physician Types'!$D$81)*INDEX(Physician_Type_Hospitalists_Visit_Minutes,MATCH(September!B92,Physician_Type_Practice,0))/INDEX(Physician_Type_Visit_Minutes,MATCH(September!B92,Physician_Type_Practice,0)) +SUMIF(Physician_Minutes_Practice,September!B92,Physician_Minutes_September)/INDEX(Physician_Type_Visit_Minutes,MATCH(September!B92,Physician_Type_Practice,0))</f>
        <v>0</v>
      </c>
      <c r="D92" s="43">
        <f t="shared" si="9"/>
        <v>0</v>
      </c>
      <c r="E92" s="17">
        <f>IFERROR(INDEX(Physician_Type_Bed_Rate,MATCH(September!B92,Physician_Type_Practice,0))*'Hospital Input Page'!$C$4,0)</f>
        <v>2664.0113037680594</v>
      </c>
      <c r="F92" s="9">
        <f t="shared" si="7"/>
        <v>0</v>
      </c>
      <c r="H92" s="5">
        <f t="array" ref="H92">SUMIFS(Physician_Visit_September, Physician_Visit_Practice, September!B92, Independent_Contractor_Visits,  'Physician Types'!$D$81) + SUMIFS(Physician_Minutes_September,Physician_Minutes_Practice,September!B92, Independent_Contractor_Minutes, 'Physician Types'!$D$81)/INDEX(Physician_Type_Visit_Minutes,MATCH(September!B92,Physician_Type_Practice,0))</f>
        <v>0</v>
      </c>
      <c r="I92" s="43">
        <f t="shared" si="10"/>
        <v>0</v>
      </c>
      <c r="J92" s="10">
        <f>E92*'Physician Types'!$E$4</f>
        <v>79.920339113041777</v>
      </c>
      <c r="K92" s="10">
        <f t="shared" si="8"/>
        <v>0</v>
      </c>
    </row>
    <row r="93" spans="1:11" x14ac:dyDescent="0.2">
      <c r="A93" s="158">
        <v>1</v>
      </c>
      <c r="B93" s="107" t="s">
        <v>30</v>
      </c>
      <c r="C93" s="5">
        <f>SUMIFS(Physician_Visit_September,Physician_Visit_Practice,September!B93,Physician_Visit_Hospitalists, "&lt;&gt;"&amp;'Physician Types'!$D$81)+SUMIFS(Physician_Visit_September,Physician_Visit_Practice,September!B93,Physician_Visit_Hospitalists,'Physician Types'!$D$81)*INDEX(Physician_Type_Hospitalists_Visit_Minutes,MATCH(September!B93,Physician_Type_Practice,0))/INDEX(Physician_Type_Visit_Minutes,MATCH(September!B93,Physician_Type_Practice,0)) +SUMIF(Physician_Minutes_Practice,September!B93,Physician_Minutes_September)/INDEX(Physician_Type_Visit_Minutes,MATCH(September!B93,Physician_Type_Practice,0))</f>
        <v>0</v>
      </c>
      <c r="D93" s="43">
        <f t="shared" si="9"/>
        <v>0</v>
      </c>
      <c r="E93" s="17">
        <f>INDEX(Physician_Type_Bed_Rate,MATCH(September!B93,Physician_Type_Practice,0))*'Hospital Input Page'!$C$4</f>
        <v>2544.9602491674359</v>
      </c>
      <c r="F93" s="9">
        <f t="shared" si="7"/>
        <v>0</v>
      </c>
      <c r="H93" s="5">
        <f t="array" ref="H93">SUMIFS(Physician_Visit_September, Physician_Visit_Practice, September!B93, Independent_Contractor_Visits,  'Physician Types'!$D$81) + SUMIFS(Physician_Minutes_September,Physician_Minutes_Practice,September!B93, Independent_Contractor_Minutes, 'Physician Types'!$D$81)/INDEX(Physician_Type_Visit_Minutes,MATCH(September!B93,Physician_Type_Practice,0))</f>
        <v>0</v>
      </c>
      <c r="I93" s="43">
        <f t="shared" si="10"/>
        <v>0</v>
      </c>
      <c r="J93" s="10">
        <f>E93*'Physician Types'!$E$4</f>
        <v>76.348807475023079</v>
      </c>
      <c r="K93" s="10">
        <f t="shared" si="8"/>
        <v>0</v>
      </c>
    </row>
    <row r="94" spans="1:11" x14ac:dyDescent="0.2">
      <c r="A94" s="158">
        <v>1</v>
      </c>
      <c r="B94" s="107" t="s">
        <v>31</v>
      </c>
      <c r="C94" s="5">
        <f>SUMIFS(Physician_Visit_September,Physician_Visit_Practice,September!B94,Physician_Visit_Hospitalists, "&lt;&gt;"&amp;'Physician Types'!$D$81)+SUMIFS(Physician_Visit_September,Physician_Visit_Practice,September!B94,Physician_Visit_Hospitalists,'Physician Types'!$D$81)*INDEX(Physician_Type_Hospitalists_Visit_Minutes,MATCH(September!B94,Physician_Type_Practice,0))/INDEX(Physician_Type_Visit_Minutes,MATCH(September!B94,Physician_Type_Practice,0)) +SUMIF(Physician_Minutes_Practice,September!B94,Physician_Minutes_September)/INDEX(Physician_Type_Visit_Minutes,MATCH(September!B94,Physician_Type_Practice,0))</f>
        <v>0</v>
      </c>
      <c r="D94" s="43">
        <f t="shared" si="9"/>
        <v>0</v>
      </c>
      <c r="E94" s="17">
        <f>INDEX(Physician_Type_Bed_Rate,MATCH(September!B94,Physician_Type_Practice,0))*'Hospital Input Page'!$C$4</f>
        <v>1258.818528154138</v>
      </c>
      <c r="F94" s="9">
        <f t="shared" si="7"/>
        <v>0</v>
      </c>
      <c r="H94" s="5">
        <f t="array" ref="H94">SUMIFS(Physician_Visit_September, Physician_Visit_Practice, September!B94, Independent_Contractor_Visits,  'Physician Types'!$D$81) + SUMIFS(Physician_Minutes_September,Physician_Minutes_Practice,September!B94, Independent_Contractor_Minutes, 'Physician Types'!$D$81)/INDEX(Physician_Type_Visit_Minutes,MATCH(September!B94,Physician_Type_Practice,0))</f>
        <v>0</v>
      </c>
      <c r="I94" s="43">
        <f t="shared" si="10"/>
        <v>0</v>
      </c>
      <c r="J94" s="10">
        <f>E94*'Physician Types'!$E$4</f>
        <v>37.764555844624141</v>
      </c>
      <c r="K94" s="10">
        <f t="shared" si="8"/>
        <v>0</v>
      </c>
    </row>
    <row r="95" spans="1:11" x14ac:dyDescent="0.2">
      <c r="A95" s="158">
        <v>2</v>
      </c>
      <c r="B95" s="107" t="s">
        <v>48</v>
      </c>
      <c r="C95" s="5">
        <f>SUMIFS(Physician_Visit_September,Physician_Visit_Practice,September!B95,Physician_Visit_Hospitalists, "&lt;&gt;"&amp;'Physician Types'!$D$81)+SUMIFS(Physician_Visit_September,Physician_Visit_Practice,September!B95,Physician_Visit_Hospitalists,'Physician Types'!$D$81)*INDEX(Physician_Type_Hospitalists_Visit_Minutes,MATCH(September!B95,Physician_Type_Practice,0))/INDEX(Physician_Type_Visit_Minutes,MATCH(September!B95,Physician_Type_Practice,0)) +SUMIF(Physician_Minutes_Practice,September!B95,Physician_Minutes_September)/INDEX(Physician_Type_Visit_Minutes,MATCH(September!B95,Physician_Type_Practice,0))</f>
        <v>0</v>
      </c>
      <c r="D95" s="43">
        <f t="shared" ref="D95" si="11">C95*INDEX(Physician_Type_Visit_Minutes,MATCH(B95,Physician_Type_Practice,0))/INDEX(Physician_Type_FTE_Minutes,MATCH(B95,Physician_Type_Practice,0))</f>
        <v>0</v>
      </c>
      <c r="E95" s="17">
        <f>INDEX(Physician_Type_Bed_Rate,MATCH(September!B95,Physician_Type_Practice,0))*'Hospital Input Page'!$C$4</f>
        <v>2336.1329894581445</v>
      </c>
      <c r="F95" s="9">
        <f t="shared" ref="F95" si="12">D95*E95</f>
        <v>0</v>
      </c>
      <c r="H95" s="5">
        <f t="array" ref="H95">SUMIFS(Physician_Visit_September, Physician_Visit_Practice, September!B95, Independent_Contractor_Visits,  'Physician Types'!$D$81) + SUMIFS(Physician_Minutes_September,Physician_Minutes_Practice,September!B95, Independent_Contractor_Minutes, 'Physician Types'!$D$81)/INDEX(Physician_Type_Visit_Minutes,MATCH(September!B95,Physician_Type_Practice,0))</f>
        <v>0</v>
      </c>
      <c r="I95" s="43">
        <f t="shared" ref="I95" si="13">H95*INDEX(Physician_Type_Visit_Minutes,MATCH(B95,Physician_Type_Practice,0))/INDEX(Physician_Type_FTE_Minutes,MATCH(B95,Physician_Type_Practice,0))</f>
        <v>0</v>
      </c>
      <c r="J95" s="10">
        <f>E95*'Physician Types'!$E$4</f>
        <v>70.083989683744335</v>
      </c>
      <c r="K95" s="10">
        <f t="shared" ref="K95" si="14">I95*J95</f>
        <v>0</v>
      </c>
    </row>
    <row r="96" spans="1:11" x14ac:dyDescent="0.2">
      <c r="A96" s="158">
        <v>2</v>
      </c>
      <c r="B96" s="107" t="s">
        <v>49</v>
      </c>
      <c r="C96" s="5">
        <f>SUMIFS(Physician_Visit_September,Physician_Visit_Practice,September!B96,Physician_Visit_Hospitalists, "&lt;&gt;"&amp;'Physician Types'!$D$81)+SUMIFS(Physician_Visit_September,Physician_Visit_Practice,September!B96,Physician_Visit_Hospitalists,'Physician Types'!$D$81)*INDEX(Physician_Type_Hospitalists_Visit_Minutes,MATCH(September!B96,Physician_Type_Practice,0))/INDEX(Physician_Type_Visit_Minutes,MATCH(September!B96,Physician_Type_Practice,0)) +SUMIF(Physician_Minutes_Practice,September!B96,Physician_Minutes_September)/INDEX(Physician_Type_Visit_Minutes,MATCH(September!B96,Physician_Type_Practice,0))</f>
        <v>0</v>
      </c>
      <c r="D96" s="43">
        <f t="shared" si="9"/>
        <v>0</v>
      </c>
      <c r="E96" s="17">
        <f>INDEX(Physician_Type_Bed_Rate,MATCH(September!B96,Physician_Type_Practice,0))*'Hospital Input Page'!$C$4</f>
        <v>1727.2161200254454</v>
      </c>
      <c r="F96" s="9">
        <f t="shared" si="7"/>
        <v>0</v>
      </c>
      <c r="H96" s="5">
        <f t="array" ref="H96">SUMIFS(Physician_Visit_September, Physician_Visit_Practice, September!B96, Independent_Contractor_Visits,  'Physician Types'!$D$81) + SUMIFS(Physician_Minutes_September,Physician_Minutes_Practice,September!B96, Independent_Contractor_Minutes, 'Physician Types'!$D$81)/INDEX(Physician_Type_Visit_Minutes,MATCH(September!B96,Physician_Type_Practice,0))</f>
        <v>0</v>
      </c>
      <c r="I96" s="43">
        <f t="shared" si="10"/>
        <v>0</v>
      </c>
      <c r="J96" s="10">
        <f>E96*'Physician Types'!$E$4</f>
        <v>51.816483600763362</v>
      </c>
      <c r="K96" s="10">
        <f t="shared" si="8"/>
        <v>0</v>
      </c>
    </row>
    <row r="97" spans="1:11" x14ac:dyDescent="0.2">
      <c r="A97" s="158">
        <v>1</v>
      </c>
      <c r="B97" s="107" t="s">
        <v>32</v>
      </c>
      <c r="C97" s="5">
        <f>SUMIFS(Physician_Visit_September,Physician_Visit_Practice,September!B97,Physician_Visit_Hospitalists, "&lt;&gt;"&amp;'Physician Types'!$D$81)+SUMIFS(Physician_Visit_September,Physician_Visit_Practice,September!B97,Physician_Visit_Hospitalists,'Physician Types'!$D$81)*INDEX(Physician_Type_Hospitalists_Visit_Minutes,MATCH(September!B97,Physician_Type_Practice,0))/INDEX(Physician_Type_Visit_Minutes,MATCH(September!B97,Physician_Type_Practice,0)) +SUMIF(Physician_Minutes_Practice,September!B97,Physician_Minutes_September)/INDEX(Physician_Type_Visit_Minutes,MATCH(September!B97,Physician_Type_Practice,0))</f>
        <v>0</v>
      </c>
      <c r="D97" s="43">
        <f t="shared" si="9"/>
        <v>0</v>
      </c>
      <c r="E97" s="17">
        <f>INDEX(Physician_Type_Bed_Rate,MATCH(September!B97,Physician_Type_Practice,0))*'Hospital Input Page'!$C$4</f>
        <v>1297.8516608100804</v>
      </c>
      <c r="F97" s="9">
        <f t="shared" si="7"/>
        <v>0</v>
      </c>
      <c r="H97" s="5">
        <f t="array" ref="H97">SUMIFS(Physician_Visit_September, Physician_Visit_Practice, September!B97, Independent_Contractor_Visits,  'Physician Types'!$D$81) + SUMIFS(Physician_Minutes_September,Physician_Minutes_Practice,September!B97, Independent_Contractor_Minutes, 'Physician Types'!$D$81)/INDEX(Physician_Type_Visit_Minutes,MATCH(September!B97,Physician_Type_Practice,0))</f>
        <v>0</v>
      </c>
      <c r="I97" s="43">
        <f t="shared" si="10"/>
        <v>0</v>
      </c>
      <c r="J97" s="10">
        <f>E97*'Physician Types'!$E$4</f>
        <v>38.935549824302413</v>
      </c>
      <c r="K97" s="10">
        <f t="shared" si="8"/>
        <v>0</v>
      </c>
    </row>
    <row r="98" spans="1:11" x14ac:dyDescent="0.2">
      <c r="A98" s="158"/>
      <c r="B98" s="102" t="s">
        <v>20</v>
      </c>
      <c r="C98" s="5">
        <f>SUMIFS(Physician_Visit_September,Physician_Visit_Practice,September!B98,Physician_Visit_Hospitalists, "&lt;&gt;"&amp;'Physician Types'!$D$81)+SUMIFS(Physician_Visit_September,Physician_Visit_Practice,September!B98,Physician_Visit_Hospitalists,'Physician Types'!$D$81)*INDEX(Physician_Type_Hospitalists_Visit_Minutes,MATCH(September!B98,Physician_Type_Practice,0))/INDEX(Physician_Type_Visit_Minutes,MATCH(September!B98,Physician_Type_Practice,0)) +SUMIF(Physician_Minutes_Practice,September!B98,Physician_Minutes_September)/INDEX(Physician_Type_Visit_Minutes,MATCH(September!B98,Physician_Type_Practice,0))</f>
        <v>415</v>
      </c>
      <c r="D98" s="43">
        <f t="shared" si="9"/>
        <v>0.79809227100521152</v>
      </c>
      <c r="E98" s="17">
        <f>INDEX(Physician_Type_Bed_Rate,MATCH(September!B98,Physician_Type_Practice,0))*'Hospital Input Page'!$C$4</f>
        <v>493.76912809766964</v>
      </c>
      <c r="F98" s="9">
        <f t="shared" si="7"/>
        <v>394.07332479573233</v>
      </c>
      <c r="H98" s="5">
        <f t="array" ref="H98">SUMIFS(Physician_Visit_September, Physician_Visit_Practice, September!B98, Independent_Contractor_Visits,  'Physician Types'!$D$81) + SUMIFS(Physician_Minutes_September,Physician_Minutes_Practice,September!B98, Independent_Contractor_Minutes, 'Physician Types'!$D$81)/INDEX(Physician_Type_Visit_Minutes,MATCH(September!B98,Physician_Type_Practice,0))</f>
        <v>0</v>
      </c>
      <c r="I98" s="43">
        <f t="shared" si="10"/>
        <v>0</v>
      </c>
      <c r="J98" s="10">
        <f>E98*'Physician Types'!$E$4</f>
        <v>14.813073842930088</v>
      </c>
      <c r="K98" s="10">
        <f t="shared" si="8"/>
        <v>0</v>
      </c>
    </row>
    <row r="99" spans="1:11" x14ac:dyDescent="0.2">
      <c r="A99" s="158">
        <v>1</v>
      </c>
      <c r="B99" s="107" t="s">
        <v>33</v>
      </c>
      <c r="C99" s="5">
        <f>SUMIFS(Physician_Visit_September,Physician_Visit_Practice,September!B99,Physician_Visit_Hospitalists, "&lt;&gt;"&amp;'Physician Types'!$D$81)+SUMIFS(Physician_Visit_September,Physician_Visit_Practice,September!B99,Physician_Visit_Hospitalists,'Physician Types'!$D$81)*INDEX(Physician_Type_Hospitalists_Visit_Minutes,MATCH(September!B99,Physician_Type_Practice,0))/INDEX(Physician_Type_Visit_Minutes,MATCH(September!B99,Physician_Type_Practice,0)) +SUMIF(Physician_Minutes_Practice,September!B99,Physician_Minutes_September)/INDEX(Physician_Type_Visit_Minutes,MATCH(September!B99,Physician_Type_Practice,0))</f>
        <v>0</v>
      </c>
      <c r="D99" s="43">
        <f t="shared" si="9"/>
        <v>0</v>
      </c>
      <c r="E99" s="17">
        <f>INDEX(Physician_Type_Bed_Rate,MATCH(September!B99,Physician_Type_Practice,0))*'Hospital Input Page'!$C$4</f>
        <v>1268.5768113181236</v>
      </c>
      <c r="F99" s="9">
        <f t="shared" si="7"/>
        <v>0</v>
      </c>
      <c r="H99" s="5">
        <f t="array" ref="H99">SUMIFS(Physician_Visit_September, Physician_Visit_Practice, September!B99, Independent_Contractor_Visits,  'Physician Types'!$D$81) + SUMIFS(Physician_Minutes_September,Physician_Minutes_Practice,September!B99, Independent_Contractor_Minutes, 'Physician Types'!$D$81)/INDEX(Physician_Type_Visit_Minutes,MATCH(September!B99,Physician_Type_Practice,0))</f>
        <v>0</v>
      </c>
      <c r="I99" s="43">
        <f t="shared" si="10"/>
        <v>0</v>
      </c>
      <c r="J99" s="10">
        <f>E99*'Physician Types'!$E$4</f>
        <v>38.057304339543705</v>
      </c>
      <c r="K99" s="10">
        <f t="shared" si="8"/>
        <v>0</v>
      </c>
    </row>
    <row r="100" spans="1:11" x14ac:dyDescent="0.2">
      <c r="A100" s="158">
        <v>2</v>
      </c>
      <c r="B100" s="107" t="s">
        <v>50</v>
      </c>
      <c r="C100" s="5">
        <f>SUMIFS(Physician_Visit_September,Physician_Visit_Practice,September!B100,Physician_Visit_Hospitalists, "&lt;&gt;"&amp;'Physician Types'!$D$81)+SUMIFS(Physician_Visit_September,Physician_Visit_Practice,September!B100,Physician_Visit_Hospitalists,'Physician Types'!$D$81)*INDEX(Physician_Type_Hospitalists_Visit_Minutes,MATCH(September!B100,Physician_Type_Practice,0))/INDEX(Physician_Type_Visit_Minutes,MATCH(September!B100,Physician_Type_Practice,0)) +SUMIF(Physician_Minutes_Practice,September!B100,Physician_Minutes_September)/INDEX(Physician_Type_Visit_Minutes,MATCH(September!B100,Physician_Type_Practice,0))</f>
        <v>0</v>
      </c>
      <c r="D100" s="43">
        <f t="shared" si="9"/>
        <v>0</v>
      </c>
      <c r="E100" s="17">
        <f>INDEX(Physician_Type_Bed_Rate,MATCH(September!B100,Physician_Type_Practice,0))*'Hospital Input Page'!$C$4</f>
        <v>2529.3469961050587</v>
      </c>
      <c r="F100" s="9">
        <f t="shared" si="7"/>
        <v>0</v>
      </c>
      <c r="H100" s="5">
        <f t="array" ref="H100">SUMIFS(Physician_Visit_September, Physician_Visit_Practice, September!B100, Independent_Contractor_Visits,  'Physician Types'!$D$81) + SUMIFS(Physician_Minutes_September,Physician_Minutes_Practice,September!B100, Independent_Contractor_Minutes, 'Physician Types'!$D$81)/INDEX(Physician_Type_Visit_Minutes,MATCH(September!B100,Physician_Type_Practice,0))</f>
        <v>0</v>
      </c>
      <c r="I100" s="43">
        <f t="shared" si="10"/>
        <v>0</v>
      </c>
      <c r="J100" s="10">
        <f>E100*'Physician Types'!$E$4</f>
        <v>75.880409883151756</v>
      </c>
      <c r="K100" s="10">
        <f t="shared" si="8"/>
        <v>0</v>
      </c>
    </row>
    <row r="101" spans="1:11" x14ac:dyDescent="0.2">
      <c r="A101" s="158">
        <v>2</v>
      </c>
      <c r="B101" s="107" t="s">
        <v>51</v>
      </c>
      <c r="C101" s="5">
        <f>SUMIFS(Physician_Visit_September,Physician_Visit_Practice,September!B101,Physician_Visit_Hospitalists, "&lt;&gt;"&amp;'Physician Types'!$D$81)+SUMIFS(Physician_Visit_September,Physician_Visit_Practice,September!B101,Physician_Visit_Hospitalists,'Physician Types'!$D$81)*INDEX(Physician_Type_Hospitalists_Visit_Minutes,MATCH(September!B101,Physician_Type_Practice,0))/INDEX(Physician_Type_Visit_Minutes,MATCH(September!B101,Physician_Type_Practice,0)) +SUMIF(Physician_Minutes_Practice,September!B101,Physician_Minutes_September)/INDEX(Physician_Type_Visit_Minutes,MATCH(September!B101,Physician_Type_Practice,0))</f>
        <v>0</v>
      </c>
      <c r="D101" s="43">
        <f t="shared" si="9"/>
        <v>0</v>
      </c>
      <c r="E101" s="17">
        <f>INDEX(Physician_Type_Bed_Rate,MATCH(September!B101,Physician_Type_Practice,0))*'Hospital Input Page'!$C$4</f>
        <v>1887.2519639148086</v>
      </c>
      <c r="F101" s="9">
        <f t="shared" si="7"/>
        <v>0</v>
      </c>
      <c r="H101" s="5">
        <f t="array" ref="H101">SUMIFS(Physician_Visit_September, Physician_Visit_Practice, September!B101, Independent_Contractor_Visits,  'Physician Types'!$D$81) + SUMIFS(Physician_Minutes_September,Physician_Minutes_Practice,September!B101, Independent_Contractor_Minutes, 'Physician Types'!$D$81)/INDEX(Physician_Type_Visit_Minutes,MATCH(September!B101,Physician_Type_Practice,0))</f>
        <v>0</v>
      </c>
      <c r="I101" s="43">
        <f t="shared" si="10"/>
        <v>0</v>
      </c>
      <c r="J101" s="10">
        <f>E101*'Physician Types'!$E$4</f>
        <v>56.617558917444256</v>
      </c>
      <c r="K101" s="10">
        <f t="shared" si="8"/>
        <v>0</v>
      </c>
    </row>
    <row r="102" spans="1:11" x14ac:dyDescent="0.2">
      <c r="A102" s="158">
        <v>2</v>
      </c>
      <c r="B102" s="107" t="s">
        <v>52</v>
      </c>
      <c r="C102" s="5">
        <f>SUMIFS(Physician_Visit_September,Physician_Visit_Practice,September!B102,Physician_Visit_Hospitalists, "&lt;&gt;"&amp;'Physician Types'!$D$81)+SUMIFS(Physician_Visit_September,Physician_Visit_Practice,September!B102,Physician_Visit_Hospitalists,'Physician Types'!$D$81)*INDEX(Physician_Type_Hospitalists_Visit_Minutes,MATCH(September!B102,Physician_Type_Practice,0))/INDEX(Physician_Type_Visit_Minutes,MATCH(September!B102,Physician_Type_Practice,0)) +SUMIF(Physician_Minutes_Practice,September!B102,Physician_Minutes_September)/INDEX(Physician_Type_Visit_Minutes,MATCH(September!B102,Physician_Type_Practice,0))</f>
        <v>0</v>
      </c>
      <c r="D102" s="43">
        <f t="shared" si="9"/>
        <v>0</v>
      </c>
      <c r="E102" s="17">
        <f>INDEX(Physician_Type_Bed_Rate,MATCH(September!B102,Physician_Type_Practice,0))*'Hospital Input Page'!$C$4</f>
        <v>2088.2725970929114</v>
      </c>
      <c r="F102" s="9">
        <f t="shared" si="7"/>
        <v>0</v>
      </c>
      <c r="H102" s="5">
        <f t="array" ref="H102">SUMIFS(Physician_Visit_September, Physician_Visit_Practice, September!B102, Independent_Contractor_Visits,  'Physician Types'!$D$81) + SUMIFS(Physician_Minutes_September,Physician_Minutes_Practice,September!B102, Independent_Contractor_Minutes, 'Physician Types'!$D$81)/INDEX(Physician_Type_Visit_Minutes,MATCH(September!B102,Physician_Type_Practice,0))</f>
        <v>0</v>
      </c>
      <c r="I102" s="43">
        <f t="shared" si="10"/>
        <v>0</v>
      </c>
      <c r="J102" s="10">
        <f>E102*'Physician Types'!$E$4</f>
        <v>62.648177912787339</v>
      </c>
      <c r="K102" s="10">
        <f t="shared" si="8"/>
        <v>0</v>
      </c>
    </row>
    <row r="103" spans="1:11" x14ac:dyDescent="0.2">
      <c r="A103" s="158">
        <v>4</v>
      </c>
      <c r="B103" s="107" t="s">
        <v>52</v>
      </c>
      <c r="C103" s="5">
        <f>SUMIFS(Physician_Visit_September,Physician_Visit_Practice,September!B103,Physician_Visit_Hospitalists, "&lt;&gt;"&amp;'Physician Types'!$D$81)+SUMIFS(Physician_Visit_September,Physician_Visit_Practice,September!B103,Physician_Visit_Hospitalists,'Physician Types'!$D$81)*INDEX(Physician_Type_Hospitalists_Visit_Minutes,MATCH(September!B103,Physician_Type_Practice,0))/INDEX(Physician_Type_Visit_Minutes,MATCH(September!B103,Physician_Type_Practice,0)) +SUMIF(Physician_Minutes_Practice,September!B103,Physician_Minutes_September)/INDEX(Physician_Type_Visit_Minutes,MATCH(September!B103,Physician_Type_Practice,0))</f>
        <v>0</v>
      </c>
      <c r="D103" s="43">
        <f t="shared" si="9"/>
        <v>0</v>
      </c>
      <c r="E103" s="17">
        <f>INDEX(Physician_Type_Bed_Rate,MATCH(September!B103,Physician_Type_Practice,0))*'Hospital Input Page'!$C$4</f>
        <v>2088.2725970929114</v>
      </c>
      <c r="F103" s="9">
        <f t="shared" si="7"/>
        <v>0</v>
      </c>
      <c r="H103" s="5">
        <f t="array" ref="H103">SUMIFS(Physician_Visit_September, Physician_Visit_Practice, September!B103, Independent_Contractor_Visits,  'Physician Types'!$D$81) + SUMIFS(Physician_Minutes_September,Physician_Minutes_Practice,September!B103, Independent_Contractor_Minutes, 'Physician Types'!$D$81)/INDEX(Physician_Type_Visit_Minutes,MATCH(September!B103,Physician_Type_Practice,0))</f>
        <v>0</v>
      </c>
      <c r="I103" s="43">
        <f t="shared" si="10"/>
        <v>0</v>
      </c>
      <c r="J103" s="10">
        <f>E103*'Physician Types'!$E$4</f>
        <v>62.648177912787339</v>
      </c>
      <c r="K103" s="10">
        <f t="shared" si="8"/>
        <v>0</v>
      </c>
    </row>
    <row r="104" spans="1:11" x14ac:dyDescent="0.2">
      <c r="A104" s="158">
        <v>5</v>
      </c>
      <c r="B104" s="102" t="s">
        <v>68</v>
      </c>
      <c r="C104" s="5">
        <f>SUMIFS(Physician_Visit_September,Physician_Visit_Practice,September!B104,Physician_Visit_Hospitalists, "&lt;&gt;"&amp;'Physician Types'!$D$81)+SUMIFS(Physician_Visit_September,Physician_Visit_Practice,September!B104,Physician_Visit_Hospitalists,'Physician Types'!$D$81)*INDEX(Physician_Type_Hospitalists_Visit_Minutes,MATCH(September!B104,Physician_Type_Practice,0))/INDEX(Physician_Type_Visit_Minutes,MATCH(September!B104,Physician_Type_Practice,0)) +SUMIF(Physician_Minutes_Practice,September!B104,Physician_Minutes_September)/INDEX(Physician_Type_Visit_Minutes,MATCH(September!B104,Physician_Type_Practice,0))</f>
        <v>0</v>
      </c>
      <c r="D104" s="43">
        <f t="shared" si="9"/>
        <v>0</v>
      </c>
      <c r="E104" s="17">
        <f>INDEX(Physician_Type_Bed_Rate,MATCH(September!B104,Physician_Type_Practice,0))*'Hospital Input Page'!$C$4</f>
        <v>2708.8994063223927</v>
      </c>
      <c r="F104" s="9">
        <f t="shared" si="7"/>
        <v>0</v>
      </c>
      <c r="H104" s="5">
        <f t="array" ref="H104">SUMIFS(Physician_Visit_September, Physician_Visit_Practice, September!B104, Independent_Contractor_Visits,  'Physician Types'!$D$81) + SUMIFS(Physician_Minutes_September,Physician_Minutes_Practice,September!B104, Independent_Contractor_Minutes, 'Physician Types'!$D$81)/INDEX(Physician_Type_Visit_Minutes,MATCH(September!B104,Physician_Type_Practice,0))</f>
        <v>0</v>
      </c>
      <c r="I104" s="43">
        <f t="shared" si="10"/>
        <v>0</v>
      </c>
      <c r="J104" s="10">
        <f>E104*'Physician Types'!$E$4</f>
        <v>81.266982189671779</v>
      </c>
      <c r="K104" s="10">
        <f t="shared" si="8"/>
        <v>0</v>
      </c>
    </row>
    <row r="105" spans="1:11" x14ac:dyDescent="0.2">
      <c r="A105" s="158">
        <v>2</v>
      </c>
      <c r="B105" s="107" t="s">
        <v>53</v>
      </c>
      <c r="C105" s="5">
        <f>SUMIFS(Physician_Visit_September,Physician_Visit_Practice,September!B105,Physician_Visit_Hospitalists, "&lt;&gt;"&amp;'Physician Types'!$D$81)+SUMIFS(Physician_Visit_September,Physician_Visit_Practice,September!B105,Physician_Visit_Hospitalists,'Physician Types'!$D$81)*INDEX(Physician_Type_Hospitalists_Visit_Minutes,MATCH(September!B105,Physician_Type_Practice,0))/INDEX(Physician_Type_Visit_Minutes,MATCH(September!B105,Physician_Type_Practice,0)) +SUMIF(Physician_Minutes_Practice,September!B105,Physician_Minutes_September)/INDEX(Physician_Type_Visit_Minutes,MATCH(September!B105,Physician_Type_Practice,0))</f>
        <v>0</v>
      </c>
      <c r="D105" s="43">
        <f t="shared" si="9"/>
        <v>0</v>
      </c>
      <c r="E105" s="17">
        <f>INDEX(Physician_Type_Bed_Rate,MATCH(September!B105,Physician_Type_Practice,0))*'Hospital Input Page'!$C$4</f>
        <v>1619.8750052216039</v>
      </c>
      <c r="F105" s="9">
        <f t="shared" si="7"/>
        <v>0</v>
      </c>
      <c r="H105" s="5">
        <f t="array" ref="H105">SUMIFS(Physician_Visit_September, Physician_Visit_Practice, September!B105, Independent_Contractor_Visits,  'Physician Types'!$D$81) + SUMIFS(Physician_Minutes_September,Physician_Minutes_Practice,September!B105, Independent_Contractor_Minutes, 'Physician Types'!$D$81)/INDEX(Physician_Type_Visit_Minutes,MATCH(September!B105,Physician_Type_Practice,0))</f>
        <v>0</v>
      </c>
      <c r="I105" s="43">
        <f t="shared" si="10"/>
        <v>0</v>
      </c>
      <c r="J105" s="10">
        <f>E105*'Physician Types'!$E$4</f>
        <v>48.596250156648118</v>
      </c>
      <c r="K105" s="10">
        <f t="shared" si="8"/>
        <v>0</v>
      </c>
    </row>
    <row r="106" spans="1:11" x14ac:dyDescent="0.2">
      <c r="A106" s="158">
        <v>3</v>
      </c>
      <c r="B106" s="102" t="s">
        <v>59</v>
      </c>
      <c r="C106" s="5">
        <f>SUMIFS(Physician_Visit_September,Physician_Visit_Practice,September!B106,Physician_Visit_Hospitalists, "&lt;&gt;"&amp;'Physician Types'!$D$81)+SUMIFS(Physician_Visit_September,Physician_Visit_Practice,September!B106,Physician_Visit_Hospitalists,'Physician Types'!$D$81)*INDEX(Physician_Type_Hospitalists_Visit_Minutes,MATCH(September!B106,Physician_Type_Practice,0))/INDEX(Physician_Type_Visit_Minutes,MATCH(September!B106,Physician_Type_Practice,0)) +SUMIF(Physician_Minutes_Practice,September!B106,Physician_Minutes_September)/INDEX(Physician_Type_Visit_Minutes,MATCH(September!B106,Physician_Type_Practice,0))</f>
        <v>0</v>
      </c>
      <c r="D106" s="43">
        <f t="shared" si="9"/>
        <v>0</v>
      </c>
      <c r="E106" s="17">
        <f>INDEX(Physician_Type_Bed_Rate,MATCH(September!B106,Physician_Type_Practice,0))*'Hospital Input Page'!$C$4</f>
        <v>380.57304339543714</v>
      </c>
      <c r="F106" s="9">
        <f t="shared" si="7"/>
        <v>0</v>
      </c>
      <c r="H106" s="5">
        <f t="array" ref="H106">SUMIFS(Physician_Visit_September, Physician_Visit_Practice, September!B106, Independent_Contractor_Visits,  'Physician Types'!$D$81) + SUMIFS(Physician_Minutes_September,Physician_Minutes_Practice,September!B106, Independent_Contractor_Minutes, 'Physician Types'!$D$81)/INDEX(Physician_Type_Visit_Minutes,MATCH(September!B106,Physician_Type_Practice,0))</f>
        <v>0</v>
      </c>
      <c r="I106" s="43">
        <f t="shared" si="10"/>
        <v>0</v>
      </c>
      <c r="J106" s="10">
        <f>E106*'Physician Types'!$E$4</f>
        <v>11.417191301863113</v>
      </c>
      <c r="K106" s="10">
        <f t="shared" si="8"/>
        <v>0</v>
      </c>
    </row>
    <row r="107" spans="1:11" x14ac:dyDescent="0.2">
      <c r="A107" s="158">
        <v>7</v>
      </c>
      <c r="B107" s="102" t="s">
        <v>75</v>
      </c>
      <c r="C107" s="5">
        <f>SUMIFS(Physician_Visit_September,Physician_Visit_Practice,September!B107,Physician_Visit_Hospitalists, "&lt;&gt;"&amp;'Physician Types'!$D$81)+SUMIFS(Physician_Visit_September,Physician_Visit_Practice,September!B107,Physician_Visit_Hospitalists,'Physician Types'!$D$81)*INDEX(Physician_Type_Hospitalists_Visit_Minutes,MATCH(September!B107,Physician_Type_Practice,0))/INDEX(Physician_Type_Visit_Minutes,MATCH(September!B107,Physician_Type_Practice,0)) +SUMIF(Physician_Minutes_Practice,September!B107,Physician_Minutes_September)/INDEX(Physician_Type_Visit_Minutes,MATCH(September!B107,Physician_Type_Practice,0))</f>
        <v>0</v>
      </c>
      <c r="D107" s="43">
        <f t="shared" si="9"/>
        <v>0</v>
      </c>
      <c r="E107" s="17">
        <f>INDEX(Physician_Type_Bed_Rate,MATCH(September!B107,Physician_Type_Practice,0))*'Hospital Input Page'!$C$4</f>
        <v>7974.4690016090053</v>
      </c>
      <c r="F107" s="9">
        <f t="shared" si="7"/>
        <v>0</v>
      </c>
      <c r="H107" s="5">
        <f t="array" ref="H107">SUMIFS(Physician_Visit_September, Physician_Visit_Practice, September!B107, Independent_Contractor_Visits,  'Physician Types'!$D$81) + SUMIFS(Physician_Minutes_September,Physician_Minutes_Practice,September!B107, Independent_Contractor_Minutes, 'Physician Types'!$D$81)/INDEX(Physician_Type_Visit_Minutes,MATCH(September!B107,Physician_Type_Practice,0))</f>
        <v>0</v>
      </c>
      <c r="I107" s="43">
        <f t="shared" si="10"/>
        <v>0</v>
      </c>
      <c r="J107" s="10">
        <f>E107*'Physician Types'!$E$4</f>
        <v>239.23407004827015</v>
      </c>
      <c r="K107" s="10">
        <f t="shared" si="8"/>
        <v>0</v>
      </c>
    </row>
    <row r="108" spans="1:11" x14ac:dyDescent="0.2">
      <c r="A108" s="158">
        <v>4</v>
      </c>
      <c r="B108" s="128" t="s">
        <v>140</v>
      </c>
      <c r="C108" s="5">
        <f>SUMIFS(Physician_Visit_September,Physician_Visit_Practice,September!B108,Physician_Visit_Hospitalists, "&lt;&gt;"&amp;'Physician Types'!$D$81)+SUMIFS(Physician_Visit_September,Physician_Visit_Practice,September!B108,Physician_Visit_Hospitalists,'Physician Types'!$D$81)*INDEX(Physician_Type_Hospitalists_Visit_Minutes,MATCH(September!B108,Physician_Type_Practice,0))/INDEX(Physician_Type_Visit_Minutes,MATCH(September!B108,Physician_Type_Practice,0)) +SUMIF(Physician_Minutes_Practice,September!B108,Physician_Minutes_September)/INDEX(Physician_Type_Visit_Minutes,MATCH(September!B108,Physician_Type_Practice,0))</f>
        <v>0</v>
      </c>
      <c r="D108" s="43">
        <f t="shared" si="9"/>
        <v>0</v>
      </c>
      <c r="E108" s="17">
        <f>INDEX(Physician_Type_Bed_Rate,MATCH(September!B108,Physician_Type_Practice,0))*'Hospital Input Page'!$C$4</f>
        <v>3159.7320884985265</v>
      </c>
      <c r="F108" s="9">
        <f t="shared" si="7"/>
        <v>0</v>
      </c>
      <c r="H108" s="5">
        <f t="array" ref="H108">SUMIFS(Physician_Visit_September, Physician_Visit_Practice, September!B108, Independent_Contractor_Visits,  'Physician Types'!$D$81) + SUMIFS(Physician_Minutes_September,Physician_Minutes_Practice,September!B108, Independent_Contractor_Minutes, 'Physician Types'!$D$81)/INDEX(Physician_Type_Visit_Minutes,MATCH(September!B108,Physician_Type_Practice,0))</f>
        <v>0</v>
      </c>
      <c r="I108" s="43">
        <f t="shared" si="10"/>
        <v>0</v>
      </c>
      <c r="J108" s="10">
        <f>E108*'Physician Types'!$E$4</f>
        <v>94.791962654955796</v>
      </c>
      <c r="K108" s="10">
        <f t="shared" si="8"/>
        <v>0</v>
      </c>
    </row>
    <row r="109" spans="1:11" x14ac:dyDescent="0.2">
      <c r="A109" s="158">
        <v>7</v>
      </c>
      <c r="B109" s="102" t="s">
        <v>76</v>
      </c>
      <c r="C109" s="5">
        <f>SUMIFS(Physician_Visit_September,Physician_Visit_Practice,September!B109,Physician_Visit_Hospitalists, "&lt;&gt;"&amp;'Physician Types'!$D$81)+SUMIFS(Physician_Visit_September,Physician_Visit_Practice,September!B109,Physician_Visit_Hospitalists,'Physician Types'!$D$81)*INDEX(Physician_Type_Hospitalists_Visit_Minutes,MATCH(September!B109,Physician_Type_Practice,0))/INDEX(Physician_Type_Visit_Minutes,MATCH(September!B109,Physician_Type_Practice,0)) +SUMIF(Physician_Minutes_Practice,September!B109,Physician_Minutes_September)/INDEX(Physician_Type_Visit_Minutes,MATCH(September!B109,Physician_Type_Practice,0))</f>
        <v>0</v>
      </c>
      <c r="D109" s="43">
        <f t="shared" si="9"/>
        <v>0</v>
      </c>
      <c r="E109" s="17">
        <f>INDEX(Physician_Type_Bed_Rate,MATCH(September!B109,Physician_Type_Practice,0))*'Hospital Input Page'!$C$4</f>
        <v>7709.0436995485979</v>
      </c>
      <c r="F109" s="9">
        <f t="shared" si="7"/>
        <v>0</v>
      </c>
      <c r="H109" s="5">
        <f t="array" ref="H109">SUMIFS(Physician_Visit_September, Physician_Visit_Practice, September!B109, Independent_Contractor_Visits,  'Physician Types'!$D$81) + SUMIFS(Physician_Minutes_September,Physician_Minutes_Practice,September!B109, Independent_Contractor_Minutes, 'Physician Types'!$D$81)/INDEX(Physician_Type_Visit_Minutes,MATCH(September!B109,Physician_Type_Practice,0))</f>
        <v>0</v>
      </c>
      <c r="I109" s="43">
        <f t="shared" si="10"/>
        <v>0</v>
      </c>
      <c r="J109" s="10">
        <f>E109*'Physician Types'!$E$4</f>
        <v>231.27131098645793</v>
      </c>
      <c r="K109" s="10">
        <f t="shared" si="8"/>
        <v>0</v>
      </c>
    </row>
    <row r="110" spans="1:11" x14ac:dyDescent="0.2">
      <c r="A110" s="102"/>
      <c r="B110" s="164" t="s">
        <v>156</v>
      </c>
      <c r="C110" s="5" t="e">
        <f>SUMIFS(Physician_Visit_September,Physician_Visit_Practice,September!B110,Physician_Visit_Hospitalists, "&lt;&gt;"&amp;'Physician Types'!$D$81)+SUMIFS(Physician_Visit_September,Physician_Visit_Practice,September!B110,Physician_Visit_Hospitalists,'Physician Types'!$D$81)*INDEX(Physician_Type_Hospitalists_Visit_Minutes,MATCH(September!B110,Physician_Type_Practice,0))/INDEX(Physician_Type_Visit_Minutes,MATCH(September!B110,Physician_Type_Practice,0)) +SUMIF(Physician_Minutes_Practice,September!B110,Physician_Minutes_September)/INDEX(Physician_Type_Visit_Minutes,MATCH(September!B110,Physician_Type_Practice,0))</f>
        <v>#REF!</v>
      </c>
      <c r="D110" s="43" t="e">
        <f t="shared" si="9"/>
        <v>#REF!</v>
      </c>
      <c r="E110" s="17" t="e">
        <f>INDEX(Physician_Type_Bed_Rate,MATCH(September!B110,Physician_Type_Practice,0))*'Hospital Input Page'!$C$4</f>
        <v>#REF!</v>
      </c>
      <c r="F110" s="9" t="e">
        <f t="shared" si="7"/>
        <v>#REF!</v>
      </c>
      <c r="H110" s="5" t="e">
        <f t="array" ref="H110">SUMIFS(Physician_Visit_September, Physician_Visit_Practice, September!B110, Independent_Contractor_Visits,  'Physician Types'!$D$81) + SUMIFS(Physician_Minutes_September,Physician_Minutes_Practice,September!B110, Independent_Contractor_Minutes, 'Physician Types'!$D$81)/INDEX(Physician_Type_Visit_Minutes,MATCH(September!B110,Physician_Type_Practice,0))</f>
        <v>#REF!</v>
      </c>
      <c r="I110" s="43" t="e">
        <f t="shared" si="10"/>
        <v>#REF!</v>
      </c>
      <c r="J110" s="10" t="e">
        <f>E110*'Physician Types'!$E$4</f>
        <v>#REF!</v>
      </c>
      <c r="K110" s="10" t="e">
        <f t="shared" si="8"/>
        <v>#REF!</v>
      </c>
    </row>
    <row r="111" spans="1:11" x14ac:dyDescent="0.2">
      <c r="A111" s="102"/>
      <c r="B111" s="164" t="s">
        <v>156</v>
      </c>
      <c r="C111" s="5" t="e">
        <f>SUMIFS(Physician_Visit_September,Physician_Visit_Practice,September!B111,Physician_Visit_Hospitalists, "&lt;&gt;"&amp;'Physician Types'!$D$81)+SUMIFS(Physician_Visit_September,Physician_Visit_Practice,September!B111,Physician_Visit_Hospitalists,'Physician Types'!$D$81)*INDEX(Physician_Type_Hospitalists_Visit_Minutes,MATCH(September!B111,Physician_Type_Practice,0))/INDEX(Physician_Type_Visit_Minutes,MATCH(September!B111,Physician_Type_Practice,0)) +SUMIF(Physician_Minutes_Practice,September!B111,Physician_Minutes_September)/INDEX(Physician_Type_Visit_Minutes,MATCH(September!B111,Physician_Type_Practice,0))</f>
        <v>#REF!</v>
      </c>
      <c r="D111" s="43" t="e">
        <f t="shared" ref="D111:D112" si="15">C111*INDEX(Physician_Type_Visit_Minutes,MATCH(B111,Physician_Type_Practice,0))/INDEX(Physician_Type_FTE_Minutes,MATCH(B111,Physician_Type_Practice,0))</f>
        <v>#REF!</v>
      </c>
      <c r="E111" s="17" t="e">
        <f>INDEX(Physician_Type_Bed_Rate,MATCH(September!B111,Physician_Type_Practice,0))*'Hospital Input Page'!$C$4</f>
        <v>#REF!</v>
      </c>
      <c r="F111" s="9" t="e">
        <f t="shared" si="7"/>
        <v>#REF!</v>
      </c>
      <c r="H111" s="5" t="e">
        <f t="array" ref="H111">SUMIFS(Physician_Visit_September, Physician_Visit_Practice, September!B111, Independent_Contractor_Visits,  'Physician Types'!$D$81) + SUMIFS(Physician_Minutes_September,Physician_Minutes_Practice,September!B111, Independent_Contractor_Minutes, 'Physician Types'!$D$81)/INDEX(Physician_Type_Visit_Minutes,MATCH(September!B111,Physician_Type_Practice,0))</f>
        <v>#REF!</v>
      </c>
      <c r="I111" s="43" t="e">
        <f t="shared" ref="I111:I112" si="16">H111*INDEX(Physician_Type_Visit_Minutes,MATCH(B111,Physician_Type_Practice,0))/INDEX(Physician_Type_FTE_Minutes,MATCH(B111,Physician_Type_Practice,0))</f>
        <v>#REF!</v>
      </c>
      <c r="J111" s="10" t="e">
        <f>E111*'Physician Types'!$E$4</f>
        <v>#REF!</v>
      </c>
      <c r="K111" s="10" t="e">
        <f t="shared" si="8"/>
        <v>#REF!</v>
      </c>
    </row>
    <row r="112" spans="1:11" x14ac:dyDescent="0.2">
      <c r="A112" s="102"/>
      <c r="B112" s="164" t="s">
        <v>156</v>
      </c>
      <c r="C112" s="5" t="e">
        <f>SUMIFS(Physician_Visit_September,Physician_Visit_Practice,September!B112,Physician_Visit_Hospitalists, "&lt;&gt;"&amp;'Physician Types'!$D$81)+SUMIFS(Physician_Visit_September,Physician_Visit_Practice,September!B112,Physician_Visit_Hospitalists,'Physician Types'!$D$81)*INDEX(Physician_Type_Hospitalists_Visit_Minutes,MATCH(September!B112,Physician_Type_Practice,0))/INDEX(Physician_Type_Visit_Minutes,MATCH(September!B112,Physician_Type_Practice,0)) +SUMIF(Physician_Minutes_Practice,September!B112,Physician_Minutes_September)/INDEX(Physician_Type_Visit_Minutes,MATCH(September!B112,Physician_Type_Practice,0))</f>
        <v>#REF!</v>
      </c>
      <c r="D112" s="43" t="e">
        <f t="shared" si="15"/>
        <v>#REF!</v>
      </c>
      <c r="E112" s="17" t="e">
        <f>INDEX(Physician_Type_Bed_Rate,MATCH(September!B112,Physician_Type_Practice,0))*'Hospital Input Page'!$C$4</f>
        <v>#REF!</v>
      </c>
      <c r="F112" s="9" t="e">
        <f t="shared" ref="F112" si="17">D112*E112</f>
        <v>#REF!</v>
      </c>
      <c r="H112" s="5" t="e">
        <f t="array" ref="H112">SUMIFS(Physician_Visit_September, Physician_Visit_Practice, September!B112, Independent_Contractor_Visits,  'Physician Types'!$D$81) + SUMIFS(Physician_Minutes_September,Physician_Minutes_Practice,September!B112, Independent_Contractor_Minutes, 'Physician Types'!$D$81)/INDEX(Physician_Type_Visit_Minutes,MATCH(September!B112,Physician_Type_Practice,0))</f>
        <v>#REF!</v>
      </c>
      <c r="I112" s="43" t="e">
        <f t="shared" si="16"/>
        <v>#REF!</v>
      </c>
      <c r="J112" s="10" t="e">
        <f>E112*'Physician Types'!$E$4</f>
        <v>#REF!</v>
      </c>
      <c r="K112" s="10" t="e">
        <f t="shared" ref="K112" si="18">I112*J112</f>
        <v>#REF!</v>
      </c>
    </row>
    <row r="113" spans="1:11" x14ac:dyDescent="0.2">
      <c r="A113" s="102"/>
      <c r="B113" s="164" t="s">
        <v>156</v>
      </c>
      <c r="C113" s="5" t="e">
        <f>SUMIFS(Physician_Visit_September,Physician_Visit_Practice,September!B113,Physician_Visit_Hospitalists, "&lt;&gt;"&amp;'Physician Types'!$D$81)+SUMIFS(Physician_Visit_September,Physician_Visit_Practice,September!B113,Physician_Visit_Hospitalists,'Physician Types'!$D$81)*INDEX(Physician_Type_Hospitalists_Visit_Minutes,MATCH(September!B113,Physician_Type_Practice,0))/INDEX(Physician_Type_Visit_Minutes,MATCH(September!B113,Physician_Type_Practice,0)) +SUMIF(Physician_Minutes_Practice,September!B113,Physician_Minutes_September)/INDEX(Physician_Type_Visit_Minutes,MATCH(September!B113,Physician_Type_Practice,0))</f>
        <v>#REF!</v>
      </c>
      <c r="D113" s="43" t="e">
        <f t="shared" ref="D113:D116" si="19">C113*INDEX(Physician_Type_Visit_Minutes,MATCH(B113,Physician_Type_Practice,0))/INDEX(Physician_Type_FTE_Minutes,MATCH(B113,Physician_Type_Practice,0))</f>
        <v>#REF!</v>
      </c>
      <c r="E113" s="17" t="e">
        <f>INDEX(Physician_Type_Bed_Rate,MATCH(September!B113,Physician_Type_Practice,0))*'Hospital Input Page'!$C$4</f>
        <v>#REF!</v>
      </c>
      <c r="F113" s="9" t="e">
        <f t="shared" ref="F113:F116" si="20">D113*E113</f>
        <v>#REF!</v>
      </c>
      <c r="H113" s="5" t="e">
        <f t="array" ref="H113">SUMIFS(Physician_Visit_September, Physician_Visit_Practice, September!B113, Independent_Contractor_Visits,  'Physician Types'!$D$81) + SUMIFS(Physician_Minutes_September,Physician_Minutes_Practice,September!B113, Independent_Contractor_Minutes, 'Physician Types'!$D$81)/INDEX(Physician_Type_Visit_Minutes,MATCH(September!B113,Physician_Type_Practice,0))</f>
        <v>#REF!</v>
      </c>
      <c r="I113" s="43" t="e">
        <f t="shared" ref="I113:I116" si="21">H113*INDEX(Physician_Type_Visit_Minutes,MATCH(B113,Physician_Type_Practice,0))/INDEX(Physician_Type_FTE_Minutes,MATCH(B113,Physician_Type_Practice,0))</f>
        <v>#REF!</v>
      </c>
      <c r="J113" s="10" t="e">
        <f>E113*'Physician Types'!$E$4</f>
        <v>#REF!</v>
      </c>
      <c r="K113" s="10" t="e">
        <f t="shared" ref="K113:K116" si="22">I113*J113</f>
        <v>#REF!</v>
      </c>
    </row>
    <row r="114" spans="1:11" x14ac:dyDescent="0.2">
      <c r="A114" s="102"/>
      <c r="B114" s="164" t="s">
        <v>156</v>
      </c>
      <c r="C114" s="5" t="e">
        <f>SUMIFS(Physician_Visit_September,Physician_Visit_Practice,September!B114,Physician_Visit_Hospitalists, "&lt;&gt;"&amp;'Physician Types'!$D$81)+SUMIFS(Physician_Visit_September,Physician_Visit_Practice,September!B114,Physician_Visit_Hospitalists,'Physician Types'!$D$81)*INDEX(Physician_Type_Hospitalists_Visit_Minutes,MATCH(September!B114,Physician_Type_Practice,0))/INDEX(Physician_Type_Visit_Minutes,MATCH(September!B114,Physician_Type_Practice,0)) +SUMIF(Physician_Minutes_Practice,September!B114,Physician_Minutes_September)/INDEX(Physician_Type_Visit_Minutes,MATCH(September!B114,Physician_Type_Practice,0))</f>
        <v>#REF!</v>
      </c>
      <c r="D114" s="43" t="e">
        <f t="shared" si="19"/>
        <v>#REF!</v>
      </c>
      <c r="E114" s="17" t="e">
        <f>INDEX(Physician_Type_Bed_Rate,MATCH(September!B114,Physician_Type_Practice,0))*'Hospital Input Page'!$C$4</f>
        <v>#REF!</v>
      </c>
      <c r="F114" s="9" t="e">
        <f t="shared" si="20"/>
        <v>#REF!</v>
      </c>
      <c r="H114" s="5" t="e">
        <f t="array" ref="H114">SUMIFS(Physician_Visit_September, Physician_Visit_Practice, September!B114, Independent_Contractor_Visits,  'Physician Types'!$D$81) + SUMIFS(Physician_Minutes_September,Physician_Minutes_Practice,September!B114, Independent_Contractor_Minutes, 'Physician Types'!$D$81)/INDEX(Physician_Type_Visit_Minutes,MATCH(September!B114,Physician_Type_Practice,0))</f>
        <v>#REF!</v>
      </c>
      <c r="I114" s="43" t="e">
        <f t="shared" si="21"/>
        <v>#REF!</v>
      </c>
      <c r="J114" s="10" t="e">
        <f>E114*'Physician Types'!$E$4</f>
        <v>#REF!</v>
      </c>
      <c r="K114" s="10" t="e">
        <f t="shared" si="22"/>
        <v>#REF!</v>
      </c>
    </row>
    <row r="115" spans="1:11" x14ac:dyDescent="0.2">
      <c r="A115" s="102"/>
      <c r="B115" s="164" t="s">
        <v>156</v>
      </c>
      <c r="C115" s="5" t="e">
        <f>SUMIFS(Physician_Visit_September,Physician_Visit_Practice,September!B115,Physician_Visit_Hospitalists, "&lt;&gt;"&amp;'Physician Types'!$D$81)+SUMIFS(Physician_Visit_September,Physician_Visit_Practice,September!B115,Physician_Visit_Hospitalists,'Physician Types'!$D$81)*INDEX(Physician_Type_Hospitalists_Visit_Minutes,MATCH(September!B115,Physician_Type_Practice,0))/INDEX(Physician_Type_Visit_Minutes,MATCH(September!B115,Physician_Type_Practice,0)) +SUMIF(Physician_Minutes_Practice,September!B115,Physician_Minutes_September)/INDEX(Physician_Type_Visit_Minutes,MATCH(September!B115,Physician_Type_Practice,0))</f>
        <v>#REF!</v>
      </c>
      <c r="D115" s="43" t="e">
        <f t="shared" si="19"/>
        <v>#REF!</v>
      </c>
      <c r="E115" s="17" t="e">
        <f>INDEX(Physician_Type_Bed_Rate,MATCH(September!B115,Physician_Type_Practice,0))*'Hospital Input Page'!$C$4</f>
        <v>#REF!</v>
      </c>
      <c r="F115" s="9" t="e">
        <f t="shared" si="20"/>
        <v>#REF!</v>
      </c>
      <c r="H115" s="5" t="e">
        <f t="array" ref="H115">SUMIFS(Physician_Visit_September, Physician_Visit_Practice, September!B115, Independent_Contractor_Visits,  'Physician Types'!$D$81) + SUMIFS(Physician_Minutes_September,Physician_Minutes_Practice,September!B115, Independent_Contractor_Minutes, 'Physician Types'!$D$81)/INDEX(Physician_Type_Visit_Minutes,MATCH(September!B115,Physician_Type_Practice,0))</f>
        <v>#REF!</v>
      </c>
      <c r="I115" s="43" t="e">
        <f t="shared" si="21"/>
        <v>#REF!</v>
      </c>
      <c r="J115" s="10" t="e">
        <f>E115*'Physician Types'!$E$4</f>
        <v>#REF!</v>
      </c>
      <c r="K115" s="10" t="e">
        <f t="shared" si="22"/>
        <v>#REF!</v>
      </c>
    </row>
    <row r="116" spans="1:11" x14ac:dyDescent="0.2">
      <c r="A116" s="102"/>
      <c r="B116" s="164" t="s">
        <v>156</v>
      </c>
      <c r="C116" s="5" t="e">
        <f>SUMIFS(Physician_Visit_September,Physician_Visit_Practice,September!B116,Physician_Visit_Hospitalists, "&lt;&gt;"&amp;'Physician Types'!$D$81)+SUMIFS(Physician_Visit_September,Physician_Visit_Practice,September!B116,Physician_Visit_Hospitalists,'Physician Types'!$D$81)*INDEX(Physician_Type_Hospitalists_Visit_Minutes,MATCH(September!B116,Physician_Type_Practice,0))/INDEX(Physician_Type_Visit_Minutes,MATCH(September!B116,Physician_Type_Practice,0)) +SUMIF(Physician_Minutes_Practice,September!B116,Physician_Minutes_September)/INDEX(Physician_Type_Visit_Minutes,MATCH(September!B116,Physician_Type_Practice,0))</f>
        <v>#REF!</v>
      </c>
      <c r="D116" s="43" t="e">
        <f t="shared" si="19"/>
        <v>#REF!</v>
      </c>
      <c r="E116" s="17" t="e">
        <f>INDEX(Physician_Type_Bed_Rate,MATCH(September!B116,Physician_Type_Practice,0))*'Hospital Input Page'!$C$4</f>
        <v>#REF!</v>
      </c>
      <c r="F116" s="9" t="e">
        <f t="shared" si="20"/>
        <v>#REF!</v>
      </c>
      <c r="H116" s="5" t="e">
        <f t="array" ref="H116">SUMIFS(Physician_Visit_September, Physician_Visit_Practice, September!B116, Independent_Contractor_Visits,  'Physician Types'!$D$81) + SUMIFS(Physician_Minutes_September,Physician_Minutes_Practice,September!B116, Independent_Contractor_Minutes, 'Physician Types'!$D$81)/INDEX(Physician_Type_Visit_Minutes,MATCH(September!B116,Physician_Type_Practice,0))</f>
        <v>#REF!</v>
      </c>
      <c r="I116" s="43" t="e">
        <f t="shared" si="21"/>
        <v>#REF!</v>
      </c>
      <c r="J116" s="10" t="e">
        <f>E116*'Physician Types'!$E$4</f>
        <v>#REF!</v>
      </c>
      <c r="K116" s="10" t="e">
        <f t="shared" si="22"/>
        <v>#REF!</v>
      </c>
    </row>
    <row r="119" spans="1:11" x14ac:dyDescent="0.2">
      <c r="B119" s="46" t="s">
        <v>106</v>
      </c>
      <c r="C119" s="149"/>
      <c r="D119" s="150"/>
      <c r="E119" s="151"/>
      <c r="F119" s="48">
        <f>SUMIF(F46:F116,"&lt;&gt;#REF!",F46:F116)</f>
        <v>2787.0026262126476</v>
      </c>
      <c r="G119" s="46"/>
      <c r="H119" s="46"/>
      <c r="I119" s="46"/>
      <c r="J119" s="46"/>
      <c r="K119" s="48">
        <f>SUMIF(K46:K116,"&lt;&gt;#REF!",K46:K116)</f>
        <v>0.44842050078546725</v>
      </c>
    </row>
  </sheetData>
  <sheetProtection algorithmName="SHA-512" hashValue="O+bhqyZsKb/xD53piUEFRWwNox4vxWjk0w/FmN3jJiDWM9fTVa850EOGlrHVqDQMWg/2pUqFBMf3KniRaJUB2Q==" saltValue="0cE7o0wCDyUfBE6rwgsO6w==" spinCount="100000" sheet="1" objects="1" scenarios="1"/>
  <customSheetViews>
    <customSheetView guid="{4B7E793F-FF7C-4BA4-8EC7-9B719AA3D607}" fitToPage="1">
      <selection activeCell="B7" sqref="B7:C7"/>
      <pageMargins left="0.5" right="0.5" top="0.5" bottom="0.5" header="0.5" footer="0.5"/>
      <printOptions gridLines="1"/>
      <pageSetup scale="97" orientation="portrait" r:id="rId1"/>
      <headerFooter alignWithMargins="0"/>
    </customSheetView>
  </customSheetViews>
  <phoneticPr fontId="8" type="noConversion"/>
  <printOptions headings="1"/>
  <pageMargins left="0.5" right="0.5" top="0.5" bottom="0.5" header="0.5" footer="0.5"/>
  <pageSetup scale="84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K139"/>
  <sheetViews>
    <sheetView zoomScaleNormal="100" workbookViewId="0">
      <selection activeCell="E19" sqref="E19"/>
    </sheetView>
  </sheetViews>
  <sheetFormatPr defaultRowHeight="12.75" x14ac:dyDescent="0.2"/>
  <cols>
    <col min="1" max="1" width="3.7109375" customWidth="1"/>
    <col min="2" max="2" width="52.42578125" customWidth="1"/>
    <col min="3" max="3" width="11.7109375" customWidth="1"/>
    <col min="4" max="4" width="10.42578125" style="8" customWidth="1"/>
    <col min="5" max="5" width="9.140625" style="6" bestFit="1" customWidth="1"/>
    <col min="6" max="6" width="12.85546875" customWidth="1"/>
    <col min="8" max="8" width="15.28515625" customWidth="1"/>
    <col min="11" max="11" width="10" customWidth="1"/>
  </cols>
  <sheetData>
    <row r="1" spans="1:8" ht="15.75" x14ac:dyDescent="0.25">
      <c r="A1" s="18" t="str">
        <f>'Hospital Input Page'!A1</f>
        <v>Grover Dils</v>
      </c>
      <c r="B1" s="19"/>
      <c r="C1" s="18" t="s">
        <v>129</v>
      </c>
      <c r="D1" s="196">
        <f>'Hospital Input Page'!F6</f>
        <v>2019</v>
      </c>
      <c r="E1" s="19"/>
    </row>
    <row r="2" spans="1:8" ht="15.75" x14ac:dyDescent="0.25">
      <c r="A2" s="18" t="str">
        <f>'Hospital Input Page'!A2</f>
        <v>LiCON MONTHLY REPORT FORM (MRF)</v>
      </c>
      <c r="B2" s="19"/>
      <c r="C2" s="19"/>
      <c r="D2" s="20"/>
      <c r="E2" s="19"/>
    </row>
    <row r="3" spans="1:8" ht="15.75" customHeight="1" x14ac:dyDescent="0.25">
      <c r="A3" s="18"/>
      <c r="B3" s="21"/>
      <c r="D3" s="20"/>
      <c r="E3" s="22"/>
      <c r="F3" s="38"/>
    </row>
    <row r="5" spans="1:8" ht="15.75" x14ac:dyDescent="0.25">
      <c r="B5" s="21" t="s">
        <v>24</v>
      </c>
      <c r="C5" s="168">
        <f>F39</f>
        <v>4616.4133283968331</v>
      </c>
      <c r="E5"/>
    </row>
    <row r="6" spans="1:8" x14ac:dyDescent="0.2">
      <c r="C6" s="2"/>
    </row>
    <row r="7" spans="1:8" x14ac:dyDescent="0.2">
      <c r="B7" s="58" t="str">
        <f>'Hospital Input Page'!$B$5</f>
        <v>Deductible</v>
      </c>
      <c r="C7" s="58">
        <f>'Hospital Input Page'!$C$5</f>
        <v>10000</v>
      </c>
    </row>
    <row r="8" spans="1:8" x14ac:dyDescent="0.2">
      <c r="B8" s="1"/>
      <c r="C8" s="3"/>
    </row>
    <row r="9" spans="1:8" ht="13.5" thickBot="1" x14ac:dyDescent="0.25">
      <c r="A9" s="4"/>
      <c r="B9" s="23" t="s">
        <v>0</v>
      </c>
      <c r="C9" s="23" t="s">
        <v>1</v>
      </c>
      <c r="D9" s="24" t="s">
        <v>27</v>
      </c>
      <c r="E9" s="25"/>
      <c r="F9" s="49" t="s">
        <v>111</v>
      </c>
    </row>
    <row r="10" spans="1:8" ht="12.95" customHeight="1" x14ac:dyDescent="0.2">
      <c r="A10" s="29">
        <v>1</v>
      </c>
      <c r="B10" s="113" t="s">
        <v>2</v>
      </c>
      <c r="C10" s="5">
        <f>INDEX(Hospital_Exposure_October, MATCH(October!B10,Hospital_Exposure_Name,0))</f>
        <v>0.52</v>
      </c>
      <c r="D10" s="17">
        <f>INDEX(Hospital_Exposure_Rate,MATCH(October!B10,Hospital_Exposure_Name,0))</f>
        <v>527.69012023747894</v>
      </c>
      <c r="E10" s="28" t="s">
        <v>21</v>
      </c>
      <c r="F10" s="50">
        <f t="shared" ref="F10:F15" si="0">C10*D10</f>
        <v>274.39886252348907</v>
      </c>
    </row>
    <row r="11" spans="1:8" ht="12.95" customHeight="1" x14ac:dyDescent="0.2">
      <c r="A11" s="29">
        <f>A10+1</f>
        <v>2</v>
      </c>
      <c r="B11" s="118" t="s">
        <v>3</v>
      </c>
      <c r="C11" s="5">
        <f>INDEX(Hospital_Exposure_October, MATCH(October!B11,Hospital_Exposure_Name,0))</f>
        <v>0</v>
      </c>
      <c r="D11" s="17">
        <f>INDEX(Hospital_Exposure_Rate,MATCH(October!B11,Hospital_Exposure_Name,0))</f>
        <v>527.69012023747894</v>
      </c>
      <c r="E11" s="28" t="s">
        <v>21</v>
      </c>
      <c r="F11" s="50">
        <f t="shared" si="0"/>
        <v>0</v>
      </c>
    </row>
    <row r="12" spans="1:8" ht="12.95" customHeight="1" x14ac:dyDescent="0.2">
      <c r="A12" s="29">
        <f t="shared" ref="A12:A35" si="1">A11+1</f>
        <v>3</v>
      </c>
      <c r="B12" s="118" t="s">
        <v>4</v>
      </c>
      <c r="C12" s="5">
        <f>INDEX(Hospital_Exposure_October, MATCH(October!B12,Hospital_Exposure_Name,0))</f>
        <v>16.489999999999998</v>
      </c>
      <c r="D12" s="17">
        <f>INDEX(Hospital_Exposure_Rate,MATCH(October!B12,Hospital_Exposure_Name,0))</f>
        <v>63.322814428497473</v>
      </c>
      <c r="E12" s="28" t="s">
        <v>21</v>
      </c>
      <c r="F12" s="50">
        <f t="shared" si="0"/>
        <v>1044.1932099259232</v>
      </c>
    </row>
    <row r="13" spans="1:8" ht="12.95" customHeight="1" x14ac:dyDescent="0.2">
      <c r="A13" s="29">
        <f t="shared" si="1"/>
        <v>4</v>
      </c>
      <c r="B13" s="118" t="s">
        <v>5</v>
      </c>
      <c r="C13" s="5">
        <f>INDEX(Hospital_Exposure_October, MATCH(October!B13,Hospital_Exposure_Name,0))</f>
        <v>0</v>
      </c>
      <c r="D13" s="17">
        <f>INDEX(Hospital_Exposure_Rate,MATCH(October!B13,Hospital_Exposure_Name,0))</f>
        <v>369.38308416623522</v>
      </c>
      <c r="E13" s="28" t="s">
        <v>21</v>
      </c>
      <c r="F13" s="50">
        <f t="shared" si="0"/>
        <v>0</v>
      </c>
    </row>
    <row r="14" spans="1:8" ht="12.95" customHeight="1" x14ac:dyDescent="0.2">
      <c r="A14" s="29">
        <f t="shared" si="1"/>
        <v>5</v>
      </c>
      <c r="B14" s="118" t="s">
        <v>6</v>
      </c>
      <c r="C14" s="5">
        <f>INDEX(Hospital_Exposure_October, MATCH(October!B14,Hospital_Exposure_Name,0))</f>
        <v>0</v>
      </c>
      <c r="D14" s="17">
        <f>INDEX(Hospital_Exposure_Rate,MATCH(October!B14,Hospital_Exposure_Name,0))</f>
        <v>237.988244227103</v>
      </c>
      <c r="E14" s="28" t="s">
        <v>21</v>
      </c>
      <c r="F14" s="50">
        <f t="shared" si="0"/>
        <v>0</v>
      </c>
    </row>
    <row r="15" spans="1:8" ht="12.95" customHeight="1" x14ac:dyDescent="0.2">
      <c r="A15" s="29">
        <f t="shared" si="1"/>
        <v>6</v>
      </c>
      <c r="B15" s="118" t="s">
        <v>7</v>
      </c>
      <c r="C15" s="5">
        <f>INDEX(Hospital_Exposure_October, MATCH(October!B15,Hospital_Exposure_Name,0))</f>
        <v>0</v>
      </c>
      <c r="D15" s="17">
        <f>INDEX(Hospital_Exposure_Rate,MATCH(October!B15,Hospital_Exposure_Name,0))</f>
        <v>184.69154208311761</v>
      </c>
      <c r="E15" s="28" t="s">
        <v>21</v>
      </c>
      <c r="F15" s="50">
        <f t="shared" si="0"/>
        <v>0</v>
      </c>
    </row>
    <row r="16" spans="1:8" ht="12.95" customHeight="1" x14ac:dyDescent="0.2">
      <c r="A16" s="29">
        <f t="shared" si="1"/>
        <v>7</v>
      </c>
      <c r="B16" s="122" t="s">
        <v>114</v>
      </c>
      <c r="C16" s="5">
        <f>INDEX(Hospital_Exposure_October, MATCH(October!B16,Hospital_Exposure_Name,0))</f>
        <v>82</v>
      </c>
      <c r="D16" s="17">
        <f>INDEX(Hospital_Exposure_Rate,MATCH(October!B16,Hospital_Exposure_Name,0))</f>
        <v>89.707320440371419</v>
      </c>
      <c r="E16" s="28" t="s">
        <v>22</v>
      </c>
      <c r="F16" s="50">
        <f>C16*D16/100</f>
        <v>73.560002761104556</v>
      </c>
      <c r="H16" s="31"/>
    </row>
    <row r="17" spans="1:8" ht="12.95" customHeight="1" x14ac:dyDescent="0.2">
      <c r="A17" s="29">
        <f t="shared" si="1"/>
        <v>8</v>
      </c>
      <c r="B17" s="122" t="s">
        <v>115</v>
      </c>
      <c r="C17" s="5">
        <f>INDEX(Hospital_Exposure_October, MATCH(October!B17,Hospital_Exposure_Name,0))</f>
        <v>1483</v>
      </c>
      <c r="D17" s="17">
        <f>INDEX(Hospital_Exposure_Rate,MATCH(October!B17,Hospital_Exposure_Name,0))</f>
        <v>21.107604809499158</v>
      </c>
      <c r="E17" s="28" t="s">
        <v>22</v>
      </c>
      <c r="F17" s="50">
        <f>C17*D17/100</f>
        <v>313.02577932487247</v>
      </c>
      <c r="H17" s="31"/>
    </row>
    <row r="18" spans="1:8" ht="12.95" customHeight="1" x14ac:dyDescent="0.2">
      <c r="A18" s="29">
        <f t="shared" si="1"/>
        <v>9</v>
      </c>
      <c r="B18" s="122" t="s">
        <v>116</v>
      </c>
      <c r="C18" s="5">
        <f>INDEX(Hospital_Exposure_October, MATCH(October!B18,Hospital_Exposure_Name,0))</f>
        <v>0</v>
      </c>
      <c r="D18" s="17">
        <f>INDEX(Hospital_Exposure_Rate,MATCH(October!B18,Hospital_Exposure_Name,0))</f>
        <v>1.1609182645224538</v>
      </c>
      <c r="E18" s="28" t="s">
        <v>22</v>
      </c>
      <c r="F18" s="50">
        <f>C18*D18/100</f>
        <v>0</v>
      </c>
    </row>
    <row r="19" spans="1:8" ht="12.95" customHeight="1" x14ac:dyDescent="0.2">
      <c r="A19" s="29">
        <f t="shared" si="1"/>
        <v>10</v>
      </c>
      <c r="B19" s="118" t="s">
        <v>8</v>
      </c>
      <c r="C19" s="5">
        <f>INDEX(Hospital_Exposure_October, MATCH(October!B19,Hospital_Exposure_Name,0))</f>
        <v>0</v>
      </c>
      <c r="D19" s="17">
        <f>INDEX(Hospital_Exposure_Rate,MATCH(October!B19,Hospital_Exposure_Name,0))</f>
        <v>26.384506011873949</v>
      </c>
      <c r="E19" s="28" t="s">
        <v>23</v>
      </c>
      <c r="F19" s="50">
        <f>C19*D19</f>
        <v>0</v>
      </c>
    </row>
    <row r="20" spans="1:8" ht="12.95" customHeight="1" x14ac:dyDescent="0.2">
      <c r="A20" s="29">
        <f t="shared" si="1"/>
        <v>11</v>
      </c>
      <c r="B20" s="118" t="s">
        <v>9</v>
      </c>
      <c r="C20" s="5">
        <f>INDEX(Hospital_Exposure_October, MATCH(October!B20,Hospital_Exposure_Name,0))</f>
        <v>0</v>
      </c>
      <c r="D20" s="17">
        <f>INDEX(Hospital_Exposure_Rate,MATCH(October!B20,Hospital_Exposure_Name,0))</f>
        <v>10.553802404749579</v>
      </c>
      <c r="E20" s="28" t="s">
        <v>23</v>
      </c>
      <c r="F20" s="50">
        <f>C20*D20</f>
        <v>0</v>
      </c>
    </row>
    <row r="21" spans="1:8" ht="12.95" customHeight="1" x14ac:dyDescent="0.2">
      <c r="A21" s="29">
        <f t="shared" si="1"/>
        <v>12</v>
      </c>
      <c r="B21" s="118" t="s">
        <v>10</v>
      </c>
      <c r="C21" s="5">
        <f>INDEX(Hospital_Exposure_October, MATCH(October!B21,Hospital_Exposure_Name,0))</f>
        <v>0</v>
      </c>
      <c r="D21" s="17">
        <f>INDEX(Hospital_Exposure_Rate,MATCH(October!B21,Hospital_Exposure_Name,0))</f>
        <v>79.153518035621843</v>
      </c>
      <c r="E21" s="28" t="s">
        <v>23</v>
      </c>
      <c r="F21" s="50">
        <f t="shared" ref="F21:F23" si="2">C21*D21</f>
        <v>0</v>
      </c>
    </row>
    <row r="22" spans="1:8" ht="12.95" customHeight="1" x14ac:dyDescent="0.2">
      <c r="A22" s="29">
        <f t="shared" si="1"/>
        <v>13</v>
      </c>
      <c r="B22" s="118" t="s">
        <v>11</v>
      </c>
      <c r="C22" s="5">
        <f>INDEX(Hospital_Exposure_October, MATCH(October!B22,Hospital_Exposure_Name,0))</f>
        <v>0</v>
      </c>
      <c r="D22" s="17">
        <f>INDEX(Hospital_Exposure_Rate,MATCH(October!B22,Hospital_Exposure_Name,0))</f>
        <v>79.153518035621843</v>
      </c>
      <c r="E22" s="28" t="s">
        <v>23</v>
      </c>
      <c r="F22" s="50">
        <f t="shared" si="2"/>
        <v>0</v>
      </c>
    </row>
    <row r="23" spans="1:8" ht="12.95" customHeight="1" x14ac:dyDescent="0.2">
      <c r="A23" s="29">
        <f t="shared" si="1"/>
        <v>14</v>
      </c>
      <c r="B23" s="122" t="s">
        <v>117</v>
      </c>
      <c r="C23" s="5">
        <f>INDEX(Hospital_Exposure_October, MATCH(October!B23,Hospital_Exposure_Name,0))</f>
        <v>0</v>
      </c>
      <c r="D23" s="17">
        <f>INDEX(Hospital_Exposure_Rate,MATCH(October!B23,Hospital_Exposure_Name,0))</f>
        <v>341.38512486587695</v>
      </c>
      <c r="E23" s="28" t="s">
        <v>23</v>
      </c>
      <c r="F23" s="50">
        <f t="shared" si="2"/>
        <v>0</v>
      </c>
    </row>
    <row r="24" spans="1:8" ht="12.95" customHeight="1" x14ac:dyDescent="0.2">
      <c r="A24" s="29">
        <f t="shared" si="1"/>
        <v>15</v>
      </c>
      <c r="B24" s="74" t="s">
        <v>136</v>
      </c>
      <c r="C24" s="5">
        <f>INDEX($C$47:$C$113,MATCH(B24,$B$47:$B$113,0))</f>
        <v>82</v>
      </c>
      <c r="D24" s="5">
        <f>INDEX($E$47:$E$113,MATCH(B24,$B$47:$B$113,0))</f>
        <v>1727.2161200254454</v>
      </c>
      <c r="E24" s="28" t="s">
        <v>22</v>
      </c>
      <c r="F24" s="50">
        <f>SUMIF(B46:B112,B24,F46:F112)+SUMIF(B46:B112,B54,K46:K112)</f>
        <v>1416.466691921127</v>
      </c>
    </row>
    <row r="25" spans="1:8" ht="12.95" customHeight="1" x14ac:dyDescent="0.2">
      <c r="A25" s="29">
        <f t="shared" si="1"/>
        <v>16</v>
      </c>
      <c r="B25" s="4" t="s">
        <v>12</v>
      </c>
      <c r="C25" s="5">
        <f>SUMIF($A$47:$A$113, 1,$D$47:$D$113)</f>
        <v>0</v>
      </c>
      <c r="D25" s="5">
        <f>IFERROR(F25/C25,0)</f>
        <v>0</v>
      </c>
      <c r="E25" s="28" t="s">
        <v>23</v>
      </c>
      <c r="F25" s="51">
        <f>SUMIF($A$46:$A$112, 1,$F$46:$F$112) + SUMIF($A$46:$A$112, 1,$K$46:$K$112)</f>
        <v>0</v>
      </c>
      <c r="H25" s="73"/>
    </row>
    <row r="26" spans="1:8" ht="12.95" customHeight="1" x14ac:dyDescent="0.2">
      <c r="A26" s="29">
        <f t="shared" si="1"/>
        <v>17</v>
      </c>
      <c r="B26" s="4" t="s">
        <v>13</v>
      </c>
      <c r="C26" s="5">
        <f>SUMIF($A$47:$A$113, 2,$D$47:$D$113)</f>
        <v>0</v>
      </c>
      <c r="D26" s="5">
        <f t="shared" ref="D26:D35" si="3">IFERROR(F26/C26,0)</f>
        <v>0</v>
      </c>
      <c r="E26" s="28" t="s">
        <v>23</v>
      </c>
      <c r="F26" s="51">
        <f>SUMIF($A$46:$A$112, 2,$F$46:$F$112) + SUMIF($A$46:$A$112, 2,$K$46:$K$112)</f>
        <v>0</v>
      </c>
    </row>
    <row r="27" spans="1:8" ht="12.95" customHeight="1" x14ac:dyDescent="0.2">
      <c r="A27" s="29">
        <f t="shared" si="1"/>
        <v>18</v>
      </c>
      <c r="B27" s="4" t="s">
        <v>14</v>
      </c>
      <c r="C27" s="5">
        <f>SUMIF($A$47:$A$113, 3,$D$47:$D$113)</f>
        <v>0.52116386853593333</v>
      </c>
      <c r="D27" s="5">
        <f t="shared" si="3"/>
        <v>1951.6566327971132</v>
      </c>
      <c r="E27" s="28" t="s">
        <v>23</v>
      </c>
      <c r="F27" s="51">
        <f>SUMIF($A$46:$A$112, 3,$F$46:$F$112) + SUMIF($A$46:$A$112, 3,$K$46:$K$112)</f>
        <v>1017.132920802357</v>
      </c>
    </row>
    <row r="28" spans="1:8" ht="12.95" customHeight="1" x14ac:dyDescent="0.2">
      <c r="A28" s="29">
        <f t="shared" si="1"/>
        <v>19</v>
      </c>
      <c r="B28" s="4" t="s">
        <v>15</v>
      </c>
      <c r="C28" s="5">
        <f>SUMIF($A$47:$A$113, 4,$D$47:$D$113)</f>
        <v>0</v>
      </c>
      <c r="D28" s="5">
        <f t="shared" si="3"/>
        <v>0</v>
      </c>
      <c r="E28" s="28" t="s">
        <v>23</v>
      </c>
      <c r="F28" s="51">
        <f>SUMIF($A$46:$A$112, 4,$F$46:$F$112) + SUMIF($A$46:$A$112, 4,$K$46:$K$112)</f>
        <v>0</v>
      </c>
    </row>
    <row r="29" spans="1:8" ht="12.95" customHeight="1" x14ac:dyDescent="0.2">
      <c r="A29" s="29">
        <f t="shared" si="1"/>
        <v>20</v>
      </c>
      <c r="B29" s="4" t="s">
        <v>16</v>
      </c>
      <c r="C29" s="5">
        <f>SUMIF($A$47:$A$113, 5,$D$47:$D$113)</f>
        <v>0</v>
      </c>
      <c r="D29" s="5">
        <f t="shared" si="3"/>
        <v>0</v>
      </c>
      <c r="E29" s="28" t="s">
        <v>23</v>
      </c>
      <c r="F29" s="51">
        <f>SUMIF($A$46:$A$112, 5,$F$46:$F$112) + SUMIF($A$46:$A$112, 5,$K$46:$K$112)</f>
        <v>0</v>
      </c>
    </row>
    <row r="30" spans="1:8" ht="12.95" customHeight="1" x14ac:dyDescent="0.2">
      <c r="A30" s="29">
        <f t="shared" si="1"/>
        <v>21</v>
      </c>
      <c r="B30" s="4" t="s">
        <v>17</v>
      </c>
      <c r="C30" s="5">
        <f>SUMIF($A$47:$A$113, 6,$D$47:$D$113)</f>
        <v>0</v>
      </c>
      <c r="D30" s="5">
        <f t="shared" si="3"/>
        <v>0</v>
      </c>
      <c r="E30" s="28" t="s">
        <v>23</v>
      </c>
      <c r="F30" s="51">
        <f>SUMIF($A$46:$A$112, 6,$F$46:$F$112) + SUMIF($A$46:$A$112, 6,$K$46:$K$112)</f>
        <v>0</v>
      </c>
    </row>
    <row r="31" spans="1:8" ht="12.95" customHeight="1" x14ac:dyDescent="0.2">
      <c r="A31" s="29">
        <f t="shared" si="1"/>
        <v>22</v>
      </c>
      <c r="B31" s="4" t="s">
        <v>18</v>
      </c>
      <c r="C31" s="5">
        <f>SUMIF($A$47:$A$113, 7,$D$47:$D$113)</f>
        <v>0</v>
      </c>
      <c r="D31" s="5">
        <f t="shared" si="3"/>
        <v>0</v>
      </c>
      <c r="E31" s="28" t="s">
        <v>23</v>
      </c>
      <c r="F31" s="51">
        <f>SUMIF($A$46:$A$112, 7,$F$46:$F$112) + SUMIF($A$46:$A$112, 7,$K$46:$K$112)</f>
        <v>0</v>
      </c>
    </row>
    <row r="32" spans="1:8" ht="12.95" customHeight="1" x14ac:dyDescent="0.2">
      <c r="A32" s="29">
        <f t="shared" si="1"/>
        <v>23</v>
      </c>
      <c r="B32" s="4" t="s">
        <v>19</v>
      </c>
      <c r="C32" s="5">
        <f>SUMIF($A$47:$A$113, 8,$D$47:$D$113)</f>
        <v>0</v>
      </c>
      <c r="D32" s="5">
        <f t="shared" si="3"/>
        <v>0</v>
      </c>
      <c r="E32" s="28" t="s">
        <v>23</v>
      </c>
      <c r="F32" s="51">
        <f>SUMIF($A$46:$A$112, 8,$F$46:$F$112) + SUMIF($A$46:$A$112, 8,$K$46:$K$112)</f>
        <v>0</v>
      </c>
    </row>
    <row r="33" spans="1:11" ht="12.95" customHeight="1" x14ac:dyDescent="0.2">
      <c r="A33" s="29">
        <f t="shared" si="1"/>
        <v>24</v>
      </c>
      <c r="B33" t="s">
        <v>79</v>
      </c>
      <c r="C33" s="5">
        <f>SUMIF($B$47:$B$113, B33,$D$47:$D$113)</f>
        <v>0</v>
      </c>
      <c r="D33" s="5">
        <f t="shared" si="3"/>
        <v>0</v>
      </c>
      <c r="E33" s="28" t="s">
        <v>23</v>
      </c>
      <c r="F33" s="51">
        <f>SUMIF($B$46:$B$112, B33,$F$46:$F$112) + SUMIF($B$46:$B$112, B33,$K$46:$K$112)</f>
        <v>0</v>
      </c>
    </row>
    <row r="34" spans="1:11" ht="12.95" customHeight="1" x14ac:dyDescent="0.2">
      <c r="A34" s="29">
        <f t="shared" si="1"/>
        <v>25</v>
      </c>
      <c r="B34" t="s">
        <v>20</v>
      </c>
      <c r="C34" s="5">
        <f>SUMIF($B$47:$B$113, B34,$D$47:$D$113)</f>
        <v>0.96732629473643716</v>
      </c>
      <c r="D34" s="5">
        <f t="shared" si="3"/>
        <v>493.76912809766964</v>
      </c>
      <c r="E34" s="28" t="s">
        <v>23</v>
      </c>
      <c r="F34" s="51">
        <f t="shared" ref="F34:F35" si="4">SUMIF($B$46:$B$112, B34,$F$46:$F$112) + SUMIF($B$46:$B$112, B34,$K$46:$K$112)</f>
        <v>477.63586113795998</v>
      </c>
    </row>
    <row r="35" spans="1:11" ht="12.95" customHeight="1" x14ac:dyDescent="0.2">
      <c r="A35" s="29">
        <f t="shared" si="1"/>
        <v>26</v>
      </c>
      <c r="B35" t="s">
        <v>80</v>
      </c>
      <c r="C35" s="5">
        <f>SUMIF($B$47:$B$113, B35,$D$47:$D$113)</f>
        <v>0</v>
      </c>
      <c r="D35" s="5">
        <f t="shared" si="3"/>
        <v>0</v>
      </c>
      <c r="E35" s="28" t="s">
        <v>23</v>
      </c>
      <c r="F35" s="51">
        <f t="shared" si="4"/>
        <v>0</v>
      </c>
    </row>
    <row r="36" spans="1:11" x14ac:dyDescent="0.2">
      <c r="F36" s="50"/>
    </row>
    <row r="37" spans="1:11" x14ac:dyDescent="0.2">
      <c r="F37" s="50"/>
    </row>
    <row r="38" spans="1:11" x14ac:dyDescent="0.2">
      <c r="B38" s="4"/>
      <c r="C38" s="5"/>
      <c r="D38" s="17"/>
      <c r="E38" s="7"/>
      <c r="F38" s="52"/>
    </row>
    <row r="39" spans="1:11" x14ac:dyDescent="0.2">
      <c r="A39" s="31"/>
      <c r="B39" s="53" t="s">
        <v>84</v>
      </c>
      <c r="C39" s="46"/>
      <c r="D39" s="54"/>
      <c r="E39" s="55"/>
      <c r="F39" s="169">
        <f>SUM(F10:F35)</f>
        <v>4616.4133283968331</v>
      </c>
    </row>
    <row r="40" spans="1:11" x14ac:dyDescent="0.2">
      <c r="A40" s="31"/>
      <c r="B40" s="34"/>
      <c r="C40" s="31"/>
      <c r="D40" s="35"/>
      <c r="E40" s="36"/>
      <c r="F40" s="16"/>
    </row>
    <row r="41" spans="1:11" x14ac:dyDescent="0.2">
      <c r="F41" s="10"/>
    </row>
    <row r="42" spans="1:11" x14ac:dyDescent="0.2">
      <c r="F42" s="10"/>
      <c r="H42" s="45" t="s">
        <v>148</v>
      </c>
      <c r="I42" s="45"/>
      <c r="J42" s="45"/>
      <c r="K42" s="45"/>
    </row>
    <row r="43" spans="1:11" ht="25.5" x14ac:dyDescent="0.2">
      <c r="A43" s="23" t="s">
        <v>85</v>
      </c>
      <c r="B43" s="41" t="s">
        <v>86</v>
      </c>
      <c r="C43" s="46" t="s">
        <v>81</v>
      </c>
      <c r="D43" s="47" t="s">
        <v>82</v>
      </c>
      <c r="E43" s="24" t="s">
        <v>27</v>
      </c>
      <c r="F43" s="23" t="s">
        <v>26</v>
      </c>
      <c r="H43" s="44" t="s">
        <v>143</v>
      </c>
      <c r="I43" s="47" t="s">
        <v>82</v>
      </c>
      <c r="J43" s="24" t="s">
        <v>27</v>
      </c>
      <c r="K43" s="23" t="s">
        <v>149</v>
      </c>
    </row>
    <row r="44" spans="1:11" x14ac:dyDescent="0.2">
      <c r="E44" s="8"/>
    </row>
    <row r="45" spans="1:11" x14ac:dyDescent="0.2">
      <c r="E45" s="8"/>
    </row>
    <row r="46" spans="1:11" x14ac:dyDescent="0.2">
      <c r="A46" s="158">
        <v>1</v>
      </c>
      <c r="B46" s="107" t="s">
        <v>28</v>
      </c>
      <c r="C46" s="5">
        <f>SUMIFS(Physician_Visit_October,Physician_Visit_Practice,October!B46,Physician_Visit_Hospitalists, "&lt;&gt;"&amp;'Physician Types'!$D$81)+SUMIFS(Physician_Visit_October,Physician_Visit_Practice,October!B46,Physician_Visit_Hospitalists,'Physician Types'!$D$81)*INDEX(Physician_Type_Hospitalists_Visit_Minutes,MATCH(October!B46,Physician_Type_Practice,0))/INDEX(Physician_Type_Visit_Minutes,MATCH(October!B46,Physician_Type_Practice,0)) +SUMIF(Physician_Minutes_Practice,October!B46,Physician_Minutes_October)/INDEX(Physician_Type_Visit_Minutes,MATCH(October!B46,Physician_Type_Practice,0))</f>
        <v>0</v>
      </c>
      <c r="D46" s="43">
        <f t="shared" ref="D46:D77" si="5">C46*INDEX(Physician_Type_Visit_Minutes,MATCH(B46,Physician_Type_Practice,0))/INDEX(Physician_Type_FTE_Minutes,MATCH(B46,Physician_Type_Practice,0))</f>
        <v>0</v>
      </c>
      <c r="E46" s="17">
        <f>INDEX(Physician_Type_Bed_Rate,MATCH(October!B46,Physician_Type_Practice,0))*'Hospital Input Page'!$C$4</f>
        <v>925.08524394583173</v>
      </c>
      <c r="F46" s="9">
        <f>D46*E46</f>
        <v>0</v>
      </c>
      <c r="H46" s="5">
        <f t="array" ref="H46">SUMIFS(Physician_Visit_October, Physician_Visit_Practice, October!B46, Independent_Contractor_Visits,  'Physician Types'!$D$81) + SUMIFS(Physician_Minutes_October,Physician_Minutes_Practice,October!B46, Independent_Contractor_Minutes, 'Physician Types'!$D$81)/INDEX(Physician_Type_Visit_Minutes,MATCH(October!B46,Physician_Type_Practice,0))</f>
        <v>0</v>
      </c>
      <c r="I46" s="43">
        <f t="shared" ref="I46:I77" si="6">H46*INDEX(Physician_Type_Visit_Minutes,MATCH(B46,Physician_Type_Practice,0))/INDEX(Physician_Type_FTE_Minutes,MATCH(B46,Physician_Type_Practice,0))</f>
        <v>0</v>
      </c>
      <c r="J46" s="10">
        <f>E46*'Physician Types'!$E$4</f>
        <v>27.752557318374951</v>
      </c>
      <c r="K46" s="10">
        <f>I46*J46</f>
        <v>0</v>
      </c>
    </row>
    <row r="47" spans="1:11" x14ac:dyDescent="0.2">
      <c r="A47" s="158">
        <v>1</v>
      </c>
      <c r="B47" s="107" t="s">
        <v>29</v>
      </c>
      <c r="C47" s="5">
        <f>SUMIFS(Physician_Visit_October,Physician_Visit_Practice,October!B47,Physician_Visit_Hospitalists, "&lt;&gt;"&amp;'Physician Types'!$D$81)+SUMIFS(Physician_Visit_October,Physician_Visit_Practice,October!B47,Physician_Visit_Hospitalists,'Physician Types'!$D$81)*INDEX(Physician_Type_Hospitalists_Visit_Minutes,MATCH(October!B47,Physician_Type_Practice,0))/INDEX(Physician_Type_Visit_Minutes,MATCH(October!B47,Physician_Type_Practice,0)) +SUMIF(Physician_Minutes_Practice,October!B47,Physician_Minutes_October)/INDEX(Physician_Type_Visit_Minutes,MATCH(October!B47,Physician_Type_Practice,0))</f>
        <v>0</v>
      </c>
      <c r="D47" s="43">
        <f t="shared" si="5"/>
        <v>0</v>
      </c>
      <c r="E47" s="17">
        <f>INDEX(Physician_Type_Bed_Rate,MATCH(October!B47,Physician_Type_Practice,0))*'Hospital Input Page'!$C$4</f>
        <v>993.39322609373073</v>
      </c>
      <c r="F47" s="9">
        <f t="shared" ref="F47:F111" si="7">D47*E47</f>
        <v>0</v>
      </c>
      <c r="H47" s="5">
        <f t="array" ref="H47">SUMIFS(Physician_Visit_October, Physician_Visit_Practice, October!B47, Independent_Contractor_Visits,  'Physician Types'!$D$81) + SUMIFS(Physician_Minutes_October,Physician_Minutes_Practice,October!B47, Independent_Contractor_Minutes, 'Physician Types'!$D$81)/INDEX(Physician_Type_Visit_Minutes,MATCH(October!B47,Physician_Type_Practice,0))</f>
        <v>0</v>
      </c>
      <c r="I47" s="43">
        <f t="shared" si="6"/>
        <v>0</v>
      </c>
      <c r="J47" s="10">
        <f>E47*'Physician Types'!$E$4</f>
        <v>29.80179678281192</v>
      </c>
      <c r="K47" s="10">
        <f t="shared" ref="K47:K111" si="8">I47*J47</f>
        <v>0</v>
      </c>
    </row>
    <row r="48" spans="1:11" x14ac:dyDescent="0.2">
      <c r="A48" s="158">
        <v>4</v>
      </c>
      <c r="B48" s="102" t="s">
        <v>60</v>
      </c>
      <c r="C48" s="5">
        <f>SUMIFS(Physician_Visit_October,Physician_Visit_Practice,October!B48,Physician_Visit_Hospitalists, "&lt;&gt;"&amp;'Physician Types'!$D$81)+SUMIFS(Physician_Visit_October,Physician_Visit_Practice,October!B48,Physician_Visit_Hospitalists,'Physician Types'!$D$81)*INDEX(Physician_Type_Hospitalists_Visit_Minutes,MATCH(October!B48,Physician_Type_Practice,0))/INDEX(Physician_Type_Visit_Minutes,MATCH(October!B48,Physician_Type_Practice,0)) +SUMIF(Physician_Minutes_Practice,October!B48,Physician_Minutes_October)/INDEX(Physician_Type_Visit_Minutes,MATCH(October!B48,Physician_Type_Practice,0))</f>
        <v>0</v>
      </c>
      <c r="D48" s="43">
        <f t="shared" si="5"/>
        <v>0</v>
      </c>
      <c r="E48" s="17">
        <f>INDEX(Physician_Type_Bed_Rate,MATCH(October!B48,Physician_Type_Practice,0))*'Hospital Input Page'!$C$4</f>
        <v>2699.1411231584075</v>
      </c>
      <c r="F48" s="9">
        <f t="shared" si="7"/>
        <v>0</v>
      </c>
      <c r="H48" s="5">
        <f>SUMIFS(Physician_Visit_October,Physician_Visit_Practice,October!B48,Independent_Contractor_Visits, "&lt;&gt;"&amp;'Physician Types'!$D$81)+SUMIFS(Physician_Visit_October,Physician_Visit_Practice,October!B48,Independent_Contractor_Visits,'Physician Types'!$D$81)*INDEX(Physician_Type_Hospitalists_Visit_Minutes,MATCH(October!B48,Physician_Type_Practice,0))/INDEX(Physician_Type_Visit_Minutes,MATCH(October!B48,Physician_Type_Practice,0)) +SUMIF(Physician_Minutes_Practice,October!B48,Physician_Minutes_October)/INDEX(Physician_Type_Visit_Minutes,MATCH(October!B48,Physician_Type_Practice,0))</f>
        <v>0</v>
      </c>
      <c r="I48" s="43">
        <f t="shared" si="6"/>
        <v>0</v>
      </c>
      <c r="J48" s="10">
        <f>E48*'Physician Types'!$E$4</f>
        <v>80.974233694752215</v>
      </c>
      <c r="K48" s="10">
        <f t="shared" si="8"/>
        <v>0</v>
      </c>
    </row>
    <row r="49" spans="1:11" x14ac:dyDescent="0.2">
      <c r="A49" s="158">
        <v>4</v>
      </c>
      <c r="B49" s="102" t="s">
        <v>61</v>
      </c>
      <c r="C49" s="5">
        <f>SUMIFS(Physician_Visit_October,Physician_Visit_Practice,October!B49,Physician_Visit_Hospitalists, "&lt;&gt;"&amp;'Physician Types'!$D$81)+SUMIFS(Physician_Visit_October,Physician_Visit_Practice,October!B49,Physician_Visit_Hospitalists,'Physician Types'!$D$81)*INDEX(Physician_Type_Hospitalists_Visit_Minutes,MATCH(October!B49,Physician_Type_Practice,0))/INDEX(Physician_Type_Visit_Minutes,MATCH(October!B49,Physician_Type_Practice,0)) +SUMIF(Physician_Minutes_Practice,October!B49,Physician_Minutes_October)/INDEX(Physician_Type_Visit_Minutes,MATCH(October!B49,Physician_Type_Practice,0))</f>
        <v>0</v>
      </c>
      <c r="D49" s="43">
        <f t="shared" si="5"/>
        <v>0</v>
      </c>
      <c r="E49" s="17">
        <f>INDEX(Physician_Type_Bed_Rate,MATCH(October!B49,Physician_Type_Practice,0))*'Hospital Input Page'!$C$4</f>
        <v>3071.9075400226566</v>
      </c>
      <c r="F49" s="9">
        <f t="shared" si="7"/>
        <v>0</v>
      </c>
      <c r="H49" s="5">
        <f>SUMIFS(Physician_Visit_October,Physician_Visit_Practice,October!B49,Independent_Contractor_Visits, "&lt;&gt;"&amp;'Physician Types'!$D$81)+SUMIFS(Physician_Visit_October,Physician_Visit_Practice,October!B49,Independent_Contractor_Visits,'Physician Types'!$D$81)*INDEX(Physician_Type_Hospitalists_Visit_Minutes,MATCH(October!B49,Physician_Type_Practice,0))/INDEX(Physician_Type_Visit_Minutes,MATCH(October!B49,Physician_Type_Practice,0)) +SUMIF(Physician_Minutes_Practice,October!B49,Physician_Minutes_October)/INDEX(Physician_Type_Visit_Minutes,MATCH(October!B49,Physician_Type_Practice,0))</f>
        <v>0</v>
      </c>
      <c r="I49" s="43">
        <f t="shared" si="6"/>
        <v>0</v>
      </c>
      <c r="J49" s="10">
        <f>E49*'Physician Types'!$E$4</f>
        <v>92.157226200679688</v>
      </c>
      <c r="K49" s="10">
        <f t="shared" si="8"/>
        <v>0</v>
      </c>
    </row>
    <row r="50" spans="1:11" x14ac:dyDescent="0.2">
      <c r="A50" s="158">
        <v>2</v>
      </c>
      <c r="B50" s="107" t="s">
        <v>34</v>
      </c>
      <c r="C50" s="5">
        <f>SUMIFS(Physician_Visit_October,Physician_Visit_Practice,October!B50,Physician_Visit_Hospitalists, "&lt;&gt;"&amp;'Physician Types'!$D$81)+SUMIFS(Physician_Visit_October,Physician_Visit_Practice,October!B50,Physician_Visit_Hospitalists,'Physician Types'!$D$81)*INDEX(Physician_Type_Hospitalists_Visit_Minutes,MATCH(October!B50,Physician_Type_Practice,0))/INDEX(Physician_Type_Visit_Minutes,MATCH(October!B50,Physician_Type_Practice,0)) +SUMIF(Physician_Minutes_Practice,October!B50,Physician_Minutes_October)/INDEX(Physician_Type_Visit_Minutes,MATCH(October!B50,Physician_Type_Practice,0))</f>
        <v>0</v>
      </c>
      <c r="D50" s="43">
        <f t="shared" si="5"/>
        <v>0</v>
      </c>
      <c r="E50" s="17">
        <f>INDEX(Physician_Type_Bed_Rate,MATCH(October!B50,Physician_Type_Practice,0))*'Hospital Input Page'!$C$4</f>
        <v>1619.8750052216039</v>
      </c>
      <c r="F50" s="9">
        <f t="shared" si="7"/>
        <v>0</v>
      </c>
      <c r="H50" s="5">
        <f>SUMIFS(Physician_Visit_October,Physician_Visit_Practice,October!B50,Independent_Contractor_Visits, "&lt;&gt;"&amp;'Physician Types'!$D$81)+SUMIFS(Physician_Visit_October,Physician_Visit_Practice,October!B50,Independent_Contractor_Visits,'Physician Types'!$D$81)*INDEX(Physician_Type_Hospitalists_Visit_Minutes,MATCH(October!B50,Physician_Type_Practice,0))/INDEX(Physician_Type_Visit_Minutes,MATCH(October!B50,Physician_Type_Practice,0)) +SUMIF(Physician_Minutes_Practice,October!B50,Physician_Minutes_October)/INDEX(Physician_Type_Visit_Minutes,MATCH(October!B50,Physician_Type_Practice,0))</f>
        <v>0</v>
      </c>
      <c r="I50" s="43">
        <f t="shared" si="6"/>
        <v>0</v>
      </c>
      <c r="J50" s="10">
        <f>E50*'Physician Types'!$E$4</f>
        <v>48.596250156648118</v>
      </c>
      <c r="K50" s="10">
        <f t="shared" si="8"/>
        <v>0</v>
      </c>
    </row>
    <row r="51" spans="1:11" x14ac:dyDescent="0.2">
      <c r="A51" s="158">
        <v>7</v>
      </c>
      <c r="B51" s="102" t="s">
        <v>72</v>
      </c>
      <c r="C51" s="5">
        <f>SUMIFS(Physician_Visit_October,Physician_Visit_Practice,October!B51,Physician_Visit_Hospitalists, "&lt;&gt;"&amp;'Physician Types'!$D$81)+SUMIFS(Physician_Visit_October,Physician_Visit_Practice,October!B51,Physician_Visit_Hospitalists,'Physician Types'!$D$81)*INDEX(Physician_Type_Hospitalists_Visit_Minutes,MATCH(October!B51,Physician_Type_Practice,0))/INDEX(Physician_Type_Visit_Minutes,MATCH(October!B51,Physician_Type_Practice,0)) +SUMIF(Physician_Minutes_Practice,October!B51,Physician_Minutes_October)/INDEX(Physician_Type_Visit_Minutes,MATCH(October!B51,Physician_Type_Practice,0))</f>
        <v>0</v>
      </c>
      <c r="D51" s="43">
        <f t="shared" si="5"/>
        <v>0</v>
      </c>
      <c r="E51" s="17">
        <f>INDEX(Physician_Type_Bed_Rate,MATCH(October!B51,Physician_Type_Practice,0))*'Hospital Input Page'!$C$4</f>
        <v>7974.4690016090053</v>
      </c>
      <c r="F51" s="9">
        <f t="shared" si="7"/>
        <v>0</v>
      </c>
      <c r="H51" s="5">
        <f>SUMIFS(Physician_Visit_October,Physician_Visit_Practice,October!B51,Independent_Contractor_Visits, "&lt;&gt;"&amp;'Physician Types'!$D$81)+SUMIFS(Physician_Visit_October,Physician_Visit_Practice,October!B51,Independent_Contractor_Visits,'Physician Types'!$D$81)*INDEX(Physician_Type_Hospitalists_Visit_Minutes,MATCH(October!B51,Physician_Type_Practice,0))/INDEX(Physician_Type_Visit_Minutes,MATCH(October!B51,Physician_Type_Practice,0)) +SUMIF(Physician_Minutes_Practice,October!B51,Physician_Minutes_October)/INDEX(Physician_Type_Visit_Minutes,MATCH(October!B51,Physician_Type_Practice,0))</f>
        <v>0</v>
      </c>
      <c r="I51" s="43">
        <f t="shared" si="6"/>
        <v>0</v>
      </c>
      <c r="J51" s="10">
        <f>E51*'Physician Types'!$E$4</f>
        <v>239.23407004827015</v>
      </c>
      <c r="K51" s="10">
        <f t="shared" si="8"/>
        <v>0</v>
      </c>
    </row>
    <row r="52" spans="1:11" x14ac:dyDescent="0.2">
      <c r="A52" s="158">
        <v>6</v>
      </c>
      <c r="B52" s="102" t="s">
        <v>69</v>
      </c>
      <c r="C52" s="5">
        <f>SUMIFS(Physician_Visit_October,Physician_Visit_Practice,October!B52,Physician_Visit_Hospitalists, "&lt;&gt;"&amp;'Physician Types'!$D$81)+SUMIFS(Physician_Visit_October,Physician_Visit_Practice,October!B52,Physician_Visit_Hospitalists,'Physician Types'!$D$81)*INDEX(Physician_Type_Hospitalists_Visit_Minutes,MATCH(October!B52,Physician_Type_Practice,0))/INDEX(Physician_Type_Visit_Minutes,MATCH(October!B52,Physician_Type_Practice,0)) +SUMIF(Physician_Minutes_Practice,October!B52,Physician_Minutes_October)/INDEX(Physician_Type_Visit_Minutes,MATCH(October!B52,Physician_Type_Practice,0))</f>
        <v>0</v>
      </c>
      <c r="D52" s="43">
        <f t="shared" si="5"/>
        <v>0</v>
      </c>
      <c r="E52" s="17">
        <f>INDEX(Physician_Type_Bed_Rate,MATCH(October!B52,Physician_Type_Practice,0))*'Hospital Input Page'!$C$4</f>
        <v>3534.4501619955722</v>
      </c>
      <c r="F52" s="9">
        <f t="shared" si="7"/>
        <v>0</v>
      </c>
      <c r="H52" s="5">
        <f>SUMIFS(Physician_Visit_October,Physician_Visit_Practice,October!B52,Independent_Contractor_Visits, "&lt;&gt;"&amp;'Physician Types'!$D$81)+SUMIFS(Physician_Visit_October,Physician_Visit_Practice,October!B52,Independent_Contractor_Visits,'Physician Types'!$D$81)*INDEX(Physician_Type_Hospitalists_Visit_Minutes,MATCH(October!B52,Physician_Type_Practice,0))/INDEX(Physician_Type_Visit_Minutes,MATCH(October!B52,Physician_Type_Practice,0)) +SUMIF(Physician_Minutes_Practice,October!B52,Physician_Minutes_October)/INDEX(Physician_Type_Visit_Minutes,MATCH(October!B52,Physician_Type_Practice,0))</f>
        <v>0</v>
      </c>
      <c r="I52" s="43">
        <f t="shared" si="6"/>
        <v>0</v>
      </c>
      <c r="J52" s="10">
        <f>E52*'Physician Types'!$E$4</f>
        <v>106.03350485986716</v>
      </c>
      <c r="K52" s="10">
        <f t="shared" si="8"/>
        <v>0</v>
      </c>
    </row>
    <row r="53" spans="1:11" x14ac:dyDescent="0.2">
      <c r="A53" s="158">
        <v>2</v>
      </c>
      <c r="B53" s="107" t="s">
        <v>35</v>
      </c>
      <c r="C53" s="5">
        <f>SUMIFS(Physician_Visit_October,Physician_Visit_Practice,October!B53,Physician_Visit_Hospitalists, "&lt;&gt;"&amp;'Physician Types'!$D$81)+SUMIFS(Physician_Visit_October,Physician_Visit_Practice,October!B53,Physician_Visit_Hospitalists,'Physician Types'!$D$81)*INDEX(Physician_Type_Hospitalists_Visit_Minutes,MATCH(October!B53,Physician_Type_Practice,0))/INDEX(Physician_Type_Visit_Minutes,MATCH(October!B53,Physician_Type_Practice,0)) +SUMIF(Physician_Minutes_Practice,October!B53,Physician_Minutes_October)/INDEX(Physician_Type_Visit_Minutes,MATCH(October!B53,Physician_Type_Practice,0))</f>
        <v>0</v>
      </c>
      <c r="D53" s="43">
        <f t="shared" si="5"/>
        <v>0</v>
      </c>
      <c r="E53" s="17">
        <f>INDEX(Physician_Type_Bed_Rate,MATCH(October!B53,Physician_Type_Practice,0))*'Hospital Input Page'!$C$4</f>
        <v>993.39322609373073</v>
      </c>
      <c r="F53" s="9">
        <f t="shared" si="7"/>
        <v>0</v>
      </c>
      <c r="H53" s="5">
        <f>SUMIFS(Physician_Visit_October,Physician_Visit_Practice,October!B53,Independent_Contractor_Visits, "&lt;&gt;"&amp;'Physician Types'!$D$81)+SUMIFS(Physician_Visit_October,Physician_Visit_Practice,October!B53,Independent_Contractor_Visits,'Physician Types'!$D$81)*INDEX(Physician_Type_Hospitalists_Visit_Minutes,MATCH(October!B53,Physician_Type_Practice,0))/INDEX(Physician_Type_Visit_Minutes,MATCH(October!B53,Physician_Type_Practice,0)) +SUMIF(Physician_Minutes_Practice,October!B53,Physician_Minutes_October)/INDEX(Physician_Type_Visit_Minutes,MATCH(October!B53,Physician_Type_Practice,0))</f>
        <v>0</v>
      </c>
      <c r="I53" s="43">
        <f t="shared" si="6"/>
        <v>0</v>
      </c>
      <c r="J53" s="10">
        <f>E53*'Physician Types'!$E$4</f>
        <v>29.80179678281192</v>
      </c>
      <c r="K53" s="10">
        <f t="shared" si="8"/>
        <v>0</v>
      </c>
    </row>
    <row r="54" spans="1:11" x14ac:dyDescent="0.2">
      <c r="A54" s="158"/>
      <c r="B54" s="161" t="s">
        <v>136</v>
      </c>
      <c r="C54" s="5">
        <f>SUMIFS(Physician_Visit_October,Physician_Visit_Practice,October!B54,Physician_Visit_Hospitalists, "&lt;&gt;"&amp;'Physician Types'!$D$81)+SUMIFS(Physician_Visit_October,Physician_Visit_Practice,October!B54,Physician_Visit_Hospitalists,'Physician Types'!$D$81)*INDEX(Physician_Type_Hospitalists_Visit_Minutes,MATCH(October!B54,Physician_Type_Practice,0))/INDEX(Physician_Type_Visit_Minutes,MATCH(October!B54,Physician_Type_Practice,0)) +SUMIF(Physician_Minutes_Practice,October!B54,Physician_Minutes_October)/INDEX(Physician_Type_Visit_Minutes,MATCH(October!B54,Physician_Type_Practice,0))</f>
        <v>82</v>
      </c>
      <c r="D54" s="43">
        <f t="shared" si="5"/>
        <v>0.11827150522125424</v>
      </c>
      <c r="E54" s="17">
        <f>INDEX(Physician_Type_Bed_Rate,MATCH(October!B54,Physician_Type_Practice,0))*'Hospital Input Page'!$C$4</f>
        <v>1727.2161200254454</v>
      </c>
      <c r="F54" s="9">
        <f>C54*E54/100</f>
        <v>1416.3172184208652</v>
      </c>
      <c r="H54" s="5">
        <f t="array" ref="H54">SUMIFS(Physician_Visit_October, Physician_Visit_Practice, October!B54, Independent_Contractor_Visits, 'Physician Types'!$D$81)</f>
        <v>2</v>
      </c>
      <c r="I54" s="43">
        <f t="shared" si="6"/>
        <v>2.8846708590549814E-3</v>
      </c>
      <c r="J54" s="10">
        <f>E54*'Physician Types'!$E$4</f>
        <v>51.816483600763362</v>
      </c>
      <c r="K54" s="10">
        <f t="shared" si="8"/>
        <v>0.14947350026182241</v>
      </c>
    </row>
    <row r="55" spans="1:11" x14ac:dyDescent="0.2">
      <c r="A55" s="158">
        <v>2</v>
      </c>
      <c r="B55" s="107" t="s">
        <v>36</v>
      </c>
      <c r="C55" s="5">
        <f>SUMIFS(Physician_Visit_October,Physician_Visit_Practice,October!B55,Physician_Visit_Hospitalists, "&lt;&gt;"&amp;'Physician Types'!$D$81)+SUMIFS(Physician_Visit_October,Physician_Visit_Practice,October!B55,Physician_Visit_Hospitalists,'Physician Types'!$D$81)*INDEX(Physician_Type_Hospitalists_Visit_Minutes,MATCH(October!B55,Physician_Type_Practice,0))/INDEX(Physician_Type_Visit_Minutes,MATCH(October!B55,Physician_Type_Practice,0)) +SUMIF(Physician_Minutes_Practice,October!B55,Physician_Minutes_October)/INDEX(Physician_Type_Visit_Minutes,MATCH(October!B55,Physician_Type_Practice,0))</f>
        <v>0</v>
      </c>
      <c r="D55" s="43">
        <f t="shared" si="5"/>
        <v>0</v>
      </c>
      <c r="E55" s="17">
        <f>INDEX(Physician_Type_Bed_Rate,MATCH(October!B55,Physician_Type_Practice,0))*'Hospital Input Page'!$C$4</f>
        <v>2544.9602491674359</v>
      </c>
      <c r="F55" s="9">
        <f t="shared" si="7"/>
        <v>0</v>
      </c>
      <c r="H55" s="5">
        <f>SUMIFS(Physician_Visit_October,Physician_Visit_Practice,October!B55,Independent_Contractor_Visits, "&lt;&gt;"&amp;'Physician Types'!$D$81)+SUMIFS(Physician_Visit_October,Physician_Visit_Practice,October!B55,Independent_Contractor_Visits,'Physician Types'!$D$81)*INDEX(Physician_Type_Hospitalists_Visit_Minutes,MATCH(October!B55,Physician_Type_Practice,0))/INDEX(Physician_Type_Visit_Minutes,MATCH(October!B55,Physician_Type_Practice,0)) +SUMIF(Physician_Minutes_Practice,October!B55,Physician_Minutes_October)/INDEX(Physician_Type_Visit_Minutes,MATCH(October!B55,Physician_Type_Practice,0))</f>
        <v>0</v>
      </c>
      <c r="I55" s="43">
        <f t="shared" si="6"/>
        <v>0</v>
      </c>
      <c r="J55" s="10">
        <f>E55*'Physician Types'!$E$4</f>
        <v>76.348807475023079</v>
      </c>
      <c r="K55" s="10">
        <f t="shared" si="8"/>
        <v>0</v>
      </c>
    </row>
    <row r="56" spans="1:11" x14ac:dyDescent="0.2">
      <c r="A56" s="158">
        <v>2</v>
      </c>
      <c r="B56" s="107" t="s">
        <v>37</v>
      </c>
      <c r="C56" s="5">
        <f>SUMIFS(Physician_Visit_October,Physician_Visit_Practice,October!B56,Physician_Visit_Hospitalists, "&lt;&gt;"&amp;'Physician Types'!$D$81)+SUMIFS(Physician_Visit_October,Physician_Visit_Practice,October!B56,Physician_Visit_Hospitalists,'Physician Types'!$D$81)*INDEX(Physician_Type_Hospitalists_Visit_Minutes,MATCH(October!B56,Physician_Type_Practice,0))/INDEX(Physician_Type_Visit_Minutes,MATCH(October!B56,Physician_Type_Practice,0)) +SUMIF(Physician_Minutes_Practice,October!B56,Physician_Minutes_October)/INDEX(Physician_Type_Visit_Minutes,MATCH(October!B56,Physician_Type_Practice,0))</f>
        <v>0</v>
      </c>
      <c r="D56" s="43">
        <f t="shared" si="5"/>
        <v>0</v>
      </c>
      <c r="E56" s="17">
        <f>INDEX(Physician_Type_Bed_Rate,MATCH(October!B56,Physician_Type_Practice,0))*'Hospital Input Page'!$C$4</f>
        <v>1567.1802761360821</v>
      </c>
      <c r="F56" s="9">
        <f t="shared" si="7"/>
        <v>0</v>
      </c>
      <c r="H56" s="5">
        <f t="array" ref="H56">SUMIFS(Physician_Visit_October, Physician_Visit_Practice, October!B56, Independent_Contractor_Visits,  'Physician Types'!$D$81) + SUMIFS(Physician_Minutes_October,Physician_Minutes_Practice,October!B56, Independent_Contractor_Minutes, 'Physician Types'!$D$81)/INDEX(Physician_Type_Visit_Minutes,MATCH(October!B56,Physician_Type_Practice,0))</f>
        <v>0</v>
      </c>
      <c r="I56" s="43">
        <f t="shared" si="6"/>
        <v>0</v>
      </c>
      <c r="J56" s="10">
        <f>E56*'Physician Types'!$E$4</f>
        <v>47.015408284082461</v>
      </c>
      <c r="K56" s="10">
        <f t="shared" si="8"/>
        <v>0</v>
      </c>
    </row>
    <row r="57" spans="1:11" x14ac:dyDescent="0.2">
      <c r="A57" s="158">
        <v>2</v>
      </c>
      <c r="B57" s="107" t="s">
        <v>38</v>
      </c>
      <c r="C57" s="5">
        <f>SUMIFS(Physician_Visit_October,Physician_Visit_Practice,October!B57,Physician_Visit_Hospitalists, "&lt;&gt;"&amp;'Physician Types'!$D$81)+SUMIFS(Physician_Visit_October,Physician_Visit_Practice,October!B57,Physician_Visit_Hospitalists,'Physician Types'!$D$81)*INDEX(Physician_Type_Hospitalists_Visit_Minutes,MATCH(October!B57,Physician_Type_Practice,0))/INDEX(Physician_Type_Visit_Minutes,MATCH(October!B57,Physician_Type_Practice,0)) +SUMIF(Physician_Minutes_Practice,October!B57,Physician_Minutes_October)/INDEX(Physician_Type_Visit_Minutes,MATCH(October!B57,Physician_Type_Practice,0))</f>
        <v>0</v>
      </c>
      <c r="D57" s="43">
        <f t="shared" si="5"/>
        <v>0</v>
      </c>
      <c r="E57" s="17">
        <f>INDEX(Physician_Type_Bed_Rate,MATCH(October!B57,Physician_Type_Practice,0))*'Hospital Input Page'!$C$4</f>
        <v>4399.0340503246935</v>
      </c>
      <c r="F57" s="9">
        <f t="shared" si="7"/>
        <v>0</v>
      </c>
      <c r="H57" s="5">
        <f t="array" ref="H57">SUMIFS(Physician_Visit_October, Physician_Visit_Practice, October!B57, Independent_Contractor_Visits,  'Physician Types'!$D$81) + SUMIFS(Physician_Minutes_October,Physician_Minutes_Practice,October!B57, Independent_Contractor_Minutes, 'Physician Types'!$D$81)/INDEX(Physician_Type_Visit_Minutes,MATCH(October!B57,Physician_Type_Practice,0))</f>
        <v>0</v>
      </c>
      <c r="I57" s="43">
        <f t="shared" si="6"/>
        <v>0</v>
      </c>
      <c r="J57" s="10">
        <f>E57*'Physician Types'!$E$4</f>
        <v>131.97102150974081</v>
      </c>
      <c r="K57" s="10">
        <f t="shared" si="8"/>
        <v>0</v>
      </c>
    </row>
    <row r="58" spans="1:11" x14ac:dyDescent="0.2">
      <c r="A58" s="158">
        <v>3</v>
      </c>
      <c r="B58" s="161" t="s">
        <v>155</v>
      </c>
      <c r="C58" s="5">
        <f>SUMIFS(Physician_Visit_October,Physician_Visit_Practice,October!B58,Physician_Visit_Hospitalists, "&lt;&gt;"&amp;'Physician Types'!$D$81)+SUMIFS(Physician_Visit_October,Physician_Visit_Practice,October!B58,Physician_Visit_Hospitalists,'Physician Types'!$D$81)*INDEX(Physician_Type_Hospitalists_Visit_Minutes,MATCH(October!B58,Physician_Type_Practice,0))/INDEX(Physician_Type_Visit_Minutes,MATCH(October!B58,Physician_Type_Practice,0)) +SUMIF(Physician_Minutes_Practice,October!B58,Physician_Minutes_October)/INDEX(Physician_Type_Visit_Minutes,MATCH(October!B58,Physician_Type_Practice,0))</f>
        <v>271</v>
      </c>
      <c r="D58" s="43">
        <f t="shared" si="5"/>
        <v>0.52116386853593333</v>
      </c>
      <c r="E58" s="17">
        <f>INDEX(Physician_Type_Bed_Rate,MATCH(October!B58,Physician_Type_Practice,0))*'Hospital Input Page'!$C$4</f>
        <v>1951.6566327971132</v>
      </c>
      <c r="F58" s="9">
        <f t="shared" si="7"/>
        <v>1017.132920802357</v>
      </c>
      <c r="H58" s="5">
        <f t="array" ref="H58">SUMIFS(Physician_Visit_October, Physician_Visit_Practice, October!B58, Independent_Contractor_Visits,  'Physician Types'!$D$81) + SUMIFS(Physician_Minutes_October,Physician_Minutes_Practice,October!B58, Independent_Contractor_Minutes, 'Physician Types'!$D$81)/INDEX(Physician_Type_Visit_Minutes,MATCH(October!B58,Physician_Type_Practice,0))</f>
        <v>0</v>
      </c>
      <c r="I58" s="43">
        <f t="shared" si="6"/>
        <v>0</v>
      </c>
      <c r="J58" s="10">
        <f>E58*'Physician Types'!$E$4</f>
        <v>58.549698983913395</v>
      </c>
      <c r="K58" s="10">
        <f t="shared" si="8"/>
        <v>0</v>
      </c>
    </row>
    <row r="59" spans="1:11" x14ac:dyDescent="0.2">
      <c r="A59" s="158">
        <v>5</v>
      </c>
      <c r="B59" s="161" t="s">
        <v>137</v>
      </c>
      <c r="C59" s="5">
        <f>SUMIFS(Physician_Visit_October,Physician_Visit_Practice,October!B59,Physician_Visit_Hospitalists, "&lt;&gt;"&amp;'Physician Types'!$D$81)+SUMIFS(Physician_Visit_October,Physician_Visit_Practice,October!B59,Physician_Visit_Hospitalists,'Physician Types'!$D$81)*INDEX(Physician_Type_Hospitalists_Visit_Minutes,MATCH(October!B59,Physician_Type_Practice,0))/INDEX(Physician_Type_Visit_Minutes,MATCH(October!B59,Physician_Type_Practice,0)) +SUMIF(Physician_Minutes_Practice,October!B59,Physician_Minutes_October)/INDEX(Physician_Type_Visit_Minutes,MATCH(October!B59,Physician_Type_Practice,0))</f>
        <v>0</v>
      </c>
      <c r="D59" s="43">
        <f t="shared" si="5"/>
        <v>0</v>
      </c>
      <c r="E59" s="17">
        <f>INDEX(Physician_Type_Bed_Rate,MATCH(October!B59,Physician_Type_Practice,0))*'Hospital Input Page'!$C$4</f>
        <v>4933.7879677111023</v>
      </c>
      <c r="F59" s="9">
        <f t="shared" si="7"/>
        <v>0</v>
      </c>
      <c r="H59" s="5">
        <f t="array" ref="H59">SUMIFS(Physician_Visit_October, Physician_Visit_Practice, October!B59, Independent_Contractor_Visits,  'Physician Types'!$D$81) + SUMIFS(Physician_Minutes_October,Physician_Minutes_Practice,October!B59, Independent_Contractor_Minutes, 'Physician Types'!$D$81)/INDEX(Physician_Type_Visit_Minutes,MATCH(October!B59,Physician_Type_Practice,0))</f>
        <v>0</v>
      </c>
      <c r="I59" s="43">
        <f t="shared" si="6"/>
        <v>0</v>
      </c>
      <c r="J59" s="10">
        <f>E59*'Physician Types'!$E$4</f>
        <v>148.01363903133307</v>
      </c>
      <c r="K59" s="10">
        <f t="shared" si="8"/>
        <v>0</v>
      </c>
    </row>
    <row r="60" spans="1:11" x14ac:dyDescent="0.2">
      <c r="A60" s="158">
        <v>6</v>
      </c>
      <c r="B60" s="102" t="s">
        <v>70</v>
      </c>
      <c r="C60" s="5">
        <f>SUMIFS(Physician_Visit_October,Physician_Visit_Practice,October!B60,Physician_Visit_Hospitalists, "&lt;&gt;"&amp;'Physician Types'!$D$81)+SUMIFS(Physician_Visit_October,Physician_Visit_Practice,October!B60,Physician_Visit_Hospitalists,'Physician Types'!$D$81)*INDEX(Physician_Type_Hospitalists_Visit_Minutes,MATCH(October!B60,Physician_Type_Practice,0))/INDEX(Physician_Type_Visit_Minutes,MATCH(October!B60,Physician_Type_Practice,0)) +SUMIF(Physician_Minutes_Practice,October!B60,Physician_Minutes_October)/INDEX(Physician_Type_Visit_Minutes,MATCH(October!B60,Physician_Type_Practice,0))</f>
        <v>0</v>
      </c>
      <c r="D60" s="43">
        <f t="shared" si="5"/>
        <v>0</v>
      </c>
      <c r="E60" s="17">
        <f>INDEX(Physician_Type_Bed_Rate,MATCH(October!B60,Physician_Type_Practice,0))*'Hospital Input Page'!$C$4</f>
        <v>5179.6967034435384</v>
      </c>
      <c r="F60" s="9">
        <f t="shared" si="7"/>
        <v>0</v>
      </c>
      <c r="H60" s="5">
        <f t="array" ref="H60">SUMIFS(Physician_Visit_October, Physician_Visit_Practice, October!B60, Independent_Contractor_Visits,  'Physician Types'!$D$81) + SUMIFS(Physician_Minutes_October,Physician_Minutes_Practice,October!B60, Independent_Contractor_Minutes, 'Physician Types'!$D$81)/INDEX(Physician_Type_Visit_Minutes,MATCH(October!B60,Physician_Type_Practice,0))</f>
        <v>0</v>
      </c>
      <c r="I60" s="43">
        <f t="shared" si="6"/>
        <v>0</v>
      </c>
      <c r="J60" s="10">
        <f>E60*'Physician Types'!$E$4</f>
        <v>155.39090110330613</v>
      </c>
      <c r="K60" s="10">
        <f t="shared" si="8"/>
        <v>0</v>
      </c>
    </row>
    <row r="61" spans="1:11" x14ac:dyDescent="0.2">
      <c r="A61" s="158">
        <v>2</v>
      </c>
      <c r="B61" s="107" t="s">
        <v>39</v>
      </c>
      <c r="C61" s="5">
        <f>SUMIFS(Physician_Visit_October,Physician_Visit_Practice,October!B61,Physician_Visit_Hospitalists, "&lt;&gt;"&amp;'Physician Types'!$D$81)+SUMIFS(Physician_Visit_October,Physician_Visit_Practice,October!B61,Physician_Visit_Hospitalists,'Physician Types'!$D$81)*INDEX(Physician_Type_Hospitalists_Visit_Minutes,MATCH(October!B61,Physician_Type_Practice,0))/INDEX(Physician_Type_Visit_Minutes,MATCH(October!B61,Physician_Type_Practice,0)) +SUMIF(Physician_Minutes_Practice,October!B61,Physician_Minutes_October)/INDEX(Physician_Type_Visit_Minutes,MATCH(October!B61,Physician_Type_Practice,0))</f>
        <v>0</v>
      </c>
      <c r="D61" s="43">
        <f t="shared" si="5"/>
        <v>0</v>
      </c>
      <c r="E61" s="17">
        <f>INDEX(Physician_Type_Bed_Rate,MATCH(October!B61,Physician_Type_Practice,0))*'Hospital Input Page'!$C$4</f>
        <v>2539.1052792690443</v>
      </c>
      <c r="F61" s="9">
        <f t="shared" si="7"/>
        <v>0</v>
      </c>
      <c r="H61" s="5">
        <f t="array" ref="H61">SUMIFS(Physician_Visit_October, Physician_Visit_Practice, October!B61, Independent_Contractor_Visits,  'Physician Types'!$D$81) + SUMIFS(Physician_Minutes_October,Physician_Minutes_Practice,October!B61, Independent_Contractor_Minutes, 'Physician Types'!$D$81)/INDEX(Physician_Type_Visit_Minutes,MATCH(October!B61,Physician_Type_Practice,0))</f>
        <v>0</v>
      </c>
      <c r="I61" s="43">
        <f t="shared" si="6"/>
        <v>0</v>
      </c>
      <c r="J61" s="10">
        <f>E61*'Physician Types'!$E$4</f>
        <v>76.173158378071321</v>
      </c>
      <c r="K61" s="10">
        <f t="shared" si="8"/>
        <v>0</v>
      </c>
    </row>
    <row r="62" spans="1:11" x14ac:dyDescent="0.2">
      <c r="A62" s="158">
        <v>2</v>
      </c>
      <c r="B62" s="107" t="s">
        <v>40</v>
      </c>
      <c r="C62" s="5">
        <f>SUMIFS(Physician_Visit_October,Physician_Visit_Practice,October!B62,Physician_Visit_Hospitalists, "&lt;&gt;"&amp;'Physician Types'!$D$81)+SUMIFS(Physician_Visit_October,Physician_Visit_Practice,October!B62,Physician_Visit_Hospitalists,'Physician Types'!$D$81)*INDEX(Physician_Type_Hospitalists_Visit_Minutes,MATCH(October!B62,Physician_Type_Practice,0))/INDEX(Physician_Type_Visit_Minutes,MATCH(October!B62,Physician_Type_Practice,0)) +SUMIF(Physician_Minutes_Practice,October!B62,Physician_Minutes_October)/INDEX(Physician_Type_Visit_Minutes,MATCH(October!B62,Physician_Type_Practice,0))</f>
        <v>0</v>
      </c>
      <c r="D62" s="43">
        <f t="shared" si="5"/>
        <v>0</v>
      </c>
      <c r="E62" s="17">
        <f>INDEX(Physician_Type_Bed_Rate,MATCH(October!B62,Physician_Type_Practice,0))*'Hospital Input Page'!$C$4</f>
        <v>1619.8750052216039</v>
      </c>
      <c r="F62" s="9">
        <f t="shared" si="7"/>
        <v>0</v>
      </c>
      <c r="H62" s="5">
        <f t="array" ref="H62">SUMIFS(Physician_Visit_October, Physician_Visit_Practice, October!B62, Independent_Contractor_Visits,  'Physician Types'!$D$81) + SUMIFS(Physician_Minutes_October,Physician_Minutes_Practice,October!B62, Independent_Contractor_Minutes, 'Physician Types'!$D$81)/INDEX(Physician_Type_Visit_Minutes,MATCH(October!B62,Physician_Type_Practice,0))</f>
        <v>0</v>
      </c>
      <c r="I62" s="43">
        <f t="shared" si="6"/>
        <v>0</v>
      </c>
      <c r="J62" s="10">
        <f>E62*'Physician Types'!$E$4</f>
        <v>48.596250156648118</v>
      </c>
      <c r="K62" s="10">
        <f t="shared" si="8"/>
        <v>0</v>
      </c>
    </row>
    <row r="63" spans="1:11" x14ac:dyDescent="0.2">
      <c r="A63" s="158">
        <v>2</v>
      </c>
      <c r="B63" s="107" t="s">
        <v>41</v>
      </c>
      <c r="C63" s="5">
        <f>SUMIFS(Physician_Visit_October,Physician_Visit_Practice,October!B63,Physician_Visit_Hospitalists, "&lt;&gt;"&amp;'Physician Types'!$D$81)+SUMIFS(Physician_Visit_October,Physician_Visit_Practice,October!B63,Physician_Visit_Hospitalists,'Physician Types'!$D$81)*INDEX(Physician_Type_Hospitalists_Visit_Minutes,MATCH(October!B63,Physician_Type_Practice,0))/INDEX(Physician_Type_Visit_Minutes,MATCH(October!B63,Physician_Type_Practice,0)) +SUMIF(Physician_Minutes_Practice,October!B63,Physician_Minutes_October)/INDEX(Physician_Type_Visit_Minutes,MATCH(October!B63,Physician_Type_Practice,0))</f>
        <v>0</v>
      </c>
      <c r="D63" s="43">
        <f t="shared" si="5"/>
        <v>0</v>
      </c>
      <c r="E63" s="17">
        <f>INDEX(Physician_Type_Bed_Rate,MATCH(October!B63,Physician_Type_Practice,0))*'Hospital Input Page'!$C$4</f>
        <v>4844.0117626024357</v>
      </c>
      <c r="F63" s="9">
        <f t="shared" si="7"/>
        <v>0</v>
      </c>
      <c r="H63" s="5">
        <f t="array" ref="H63">SUMIFS(Physician_Visit_October, Physician_Visit_Practice, October!B63, Independent_Contractor_Visits,  'Physician Types'!$D$81) + SUMIFS(Physician_Minutes_October,Physician_Minutes_Practice,October!B63, Independent_Contractor_Minutes, 'Physician Types'!$D$81)/INDEX(Physician_Type_Visit_Minutes,MATCH(October!B63,Physician_Type_Practice,0))</f>
        <v>0</v>
      </c>
      <c r="I63" s="43">
        <f t="shared" si="6"/>
        <v>0</v>
      </c>
      <c r="J63" s="10">
        <f>E63*'Physician Types'!$E$4</f>
        <v>145.32035287807307</v>
      </c>
      <c r="K63" s="10">
        <f t="shared" si="8"/>
        <v>0</v>
      </c>
    </row>
    <row r="64" spans="1:11" x14ac:dyDescent="0.2">
      <c r="A64" s="158">
        <v>6</v>
      </c>
      <c r="B64" s="128" t="s">
        <v>138</v>
      </c>
      <c r="C64" s="5">
        <f>SUMIFS(Physician_Visit_October,Physician_Visit_Practice,October!B64,Physician_Visit_Hospitalists, "&lt;&gt;"&amp;'Physician Types'!$D$81)+SUMIFS(Physician_Visit_October,Physician_Visit_Practice,October!B64,Physician_Visit_Hospitalists,'Physician Types'!$D$81)*INDEX(Physician_Type_Hospitalists_Visit_Minutes,MATCH(October!B64,Physician_Type_Practice,0))/INDEX(Physician_Type_Visit_Minutes,MATCH(October!B64,Physician_Type_Practice,0)) +SUMIF(Physician_Minutes_Practice,October!B64,Physician_Minutes_October)/INDEX(Physician_Type_Visit_Minutes,MATCH(October!B64,Physician_Type_Practice,0))</f>
        <v>0</v>
      </c>
      <c r="D64" s="43">
        <f t="shared" si="5"/>
        <v>0</v>
      </c>
      <c r="E64" s="17">
        <f>INDEX(Physician_Type_Bed_Rate,MATCH(October!B64,Physician_Type_Practice,0))*'Hospital Input Page'!$C$4</f>
        <v>5782.7586029778467</v>
      </c>
      <c r="F64" s="9">
        <f t="shared" si="7"/>
        <v>0</v>
      </c>
      <c r="H64" s="5">
        <f t="array" ref="H64">SUMIFS(Physician_Visit_October, Physician_Visit_Practice, October!B64, Independent_Contractor_Visits,  'Physician Types'!$D$81) + SUMIFS(Physician_Minutes_October,Physician_Minutes_Practice,October!B64, Independent_Contractor_Minutes, 'Physician Types'!$D$81)/INDEX(Physician_Type_Visit_Minutes,MATCH(October!B64,Physician_Type_Practice,0))</f>
        <v>0</v>
      </c>
      <c r="I64" s="43">
        <f t="shared" si="6"/>
        <v>0</v>
      </c>
      <c r="J64" s="10">
        <f>E64*'Physician Types'!$E$4</f>
        <v>173.48275808933539</v>
      </c>
      <c r="K64" s="10">
        <f t="shared" si="8"/>
        <v>0</v>
      </c>
    </row>
    <row r="65" spans="1:11" x14ac:dyDescent="0.2">
      <c r="A65" s="158">
        <v>2</v>
      </c>
      <c r="B65" s="107" t="s">
        <v>42</v>
      </c>
      <c r="C65" s="5">
        <f>SUMIFS(Physician_Visit_October,Physician_Visit_Practice,October!B65,Physician_Visit_Hospitalists, "&lt;&gt;"&amp;'Physician Types'!$D$81)+SUMIFS(Physician_Visit_October,Physician_Visit_Practice,October!B65,Physician_Visit_Hospitalists,'Physician Types'!$D$81)*INDEX(Physician_Type_Hospitalists_Visit_Minutes,MATCH(October!B65,Physician_Type_Practice,0))/INDEX(Physician_Type_Visit_Minutes,MATCH(October!B65,Physician_Type_Practice,0)) +SUMIF(Physician_Minutes_Practice,October!B65,Physician_Minutes_October)/INDEX(Physician_Type_Visit_Minutes,MATCH(October!B65,Physician_Type_Practice,0))</f>
        <v>0</v>
      </c>
      <c r="D65" s="43">
        <f t="shared" si="5"/>
        <v>0</v>
      </c>
      <c r="E65" s="17">
        <f>INDEX(Physician_Type_Bed_Rate,MATCH(October!B65,Physician_Type_Practice,0))*'Hospital Input Page'!$C$4</f>
        <v>1487.1623541914003</v>
      </c>
      <c r="F65" s="9">
        <f t="shared" si="7"/>
        <v>0</v>
      </c>
      <c r="H65" s="5">
        <f t="array" ref="H65">SUMIFS(Physician_Visit_October, Physician_Visit_Practice, October!B65, Independent_Contractor_Visits,  'Physician Types'!$D$81) + SUMIFS(Physician_Minutes_October,Physician_Minutes_Practice,October!B65, Independent_Contractor_Minutes, 'Physician Types'!$D$81)/INDEX(Physician_Type_Visit_Minutes,MATCH(October!B65,Physician_Type_Practice,0))</f>
        <v>0</v>
      </c>
      <c r="I65" s="43">
        <f t="shared" si="6"/>
        <v>0</v>
      </c>
      <c r="J65" s="10">
        <f>E65*'Physician Types'!$E$4</f>
        <v>44.614870625742007</v>
      </c>
      <c r="K65" s="10">
        <f t="shared" si="8"/>
        <v>0</v>
      </c>
    </row>
    <row r="66" spans="1:11" x14ac:dyDescent="0.2">
      <c r="A66" s="158">
        <v>5</v>
      </c>
      <c r="B66" s="102" t="s">
        <v>64</v>
      </c>
      <c r="C66" s="5">
        <f>SUMIFS(Physician_Visit_October,Physician_Visit_Practice,October!B66,Physician_Visit_Hospitalists, "&lt;&gt;"&amp;'Physician Types'!$D$81)+SUMIFS(Physician_Visit_October,Physician_Visit_Practice,October!B66,Physician_Visit_Hospitalists,'Physician Types'!$D$81)*INDEX(Physician_Type_Hospitalists_Visit_Minutes,MATCH(October!B66,Physician_Type_Practice,0))/INDEX(Physician_Type_Visit_Minutes,MATCH(October!B66,Physician_Type_Practice,0)) +SUMIF(Physician_Minutes_Practice,October!B66,Physician_Minutes_October)/INDEX(Physician_Type_Visit_Minutes,MATCH(October!B66,Physician_Type_Practice,0))</f>
        <v>0</v>
      </c>
      <c r="D66" s="43">
        <f t="shared" si="5"/>
        <v>0</v>
      </c>
      <c r="E66" s="17">
        <f>INDEX(Physician_Type_Bed_Rate,MATCH(October!B66,Physician_Type_Practice,0))*'Hospital Input Page'!$C$4</f>
        <v>2406.3926282388406</v>
      </c>
      <c r="F66" s="9">
        <f t="shared" si="7"/>
        <v>0</v>
      </c>
      <c r="H66" s="5">
        <f t="array" ref="H66">SUMIFS(Physician_Visit_October, Physician_Visit_Practice, October!B66, Independent_Contractor_Visits,  'Physician Types'!$D$81) + SUMIFS(Physician_Minutes_October,Physician_Minutes_Practice,October!B66, Independent_Contractor_Minutes, 'Physician Types'!$D$81)/INDEX(Physician_Type_Visit_Minutes,MATCH(October!B66,Physician_Type_Practice,0))</f>
        <v>0</v>
      </c>
      <c r="I66" s="43">
        <f t="shared" si="6"/>
        <v>0</v>
      </c>
      <c r="J66" s="10">
        <f>E66*'Physician Types'!$E$4</f>
        <v>72.19177884716521</v>
      </c>
      <c r="K66" s="10">
        <f t="shared" si="8"/>
        <v>0</v>
      </c>
    </row>
    <row r="67" spans="1:11" x14ac:dyDescent="0.2">
      <c r="A67" s="158">
        <v>5</v>
      </c>
      <c r="B67" s="102" t="s">
        <v>65</v>
      </c>
      <c r="C67" s="5">
        <f>SUMIFS(Physician_Visit_October,Physician_Visit_Practice,October!B67,Physician_Visit_Hospitalists, "&lt;&gt;"&amp;'Physician Types'!$D$81)+SUMIFS(Physician_Visit_October,Physician_Visit_Practice,October!B67,Physician_Visit_Hospitalists,'Physician Types'!$D$81)*INDEX(Physician_Type_Hospitalists_Visit_Minutes,MATCH(October!B67,Physician_Type_Practice,0))/INDEX(Physician_Type_Visit_Minutes,MATCH(October!B67,Physician_Type_Practice,0)) +SUMIF(Physician_Minutes_Practice,October!B67,Physician_Minutes_October)/INDEX(Physician_Type_Visit_Minutes,MATCH(October!B67,Physician_Type_Practice,0))</f>
        <v>0</v>
      </c>
      <c r="D67" s="43">
        <f t="shared" si="5"/>
        <v>0</v>
      </c>
      <c r="E67" s="17">
        <f>INDEX(Physician_Type_Bed_Rate,MATCH(October!B67,Physician_Type_Practice,0))*'Hospital Input Page'!$C$4</f>
        <v>1487.1623541914003</v>
      </c>
      <c r="F67" s="9">
        <f t="shared" si="7"/>
        <v>0</v>
      </c>
      <c r="H67" s="5">
        <f t="array" ref="H67">SUMIFS(Physician_Visit_October, Physician_Visit_Practice, October!B67, Independent_Contractor_Visits,  'Physician Types'!$D$81) + SUMIFS(Physician_Minutes_October,Physician_Minutes_Practice,October!B67, Independent_Contractor_Minutes, 'Physician Types'!$D$81)/INDEX(Physician_Type_Visit_Minutes,MATCH(October!B67,Physician_Type_Practice,0))</f>
        <v>0</v>
      </c>
      <c r="I67" s="43">
        <f t="shared" si="6"/>
        <v>0</v>
      </c>
      <c r="J67" s="10">
        <f>E67*'Physician Types'!$E$4</f>
        <v>44.614870625742007</v>
      </c>
      <c r="K67" s="10">
        <f t="shared" si="8"/>
        <v>0</v>
      </c>
    </row>
    <row r="68" spans="1:11" x14ac:dyDescent="0.2">
      <c r="A68" s="158">
        <v>5</v>
      </c>
      <c r="B68" s="102" t="s">
        <v>66</v>
      </c>
      <c r="C68" s="5">
        <f>SUMIFS(Physician_Visit_October,Physician_Visit_Practice,October!B68,Physician_Visit_Hospitalists, "&lt;&gt;"&amp;'Physician Types'!$D$81)+SUMIFS(Physician_Visit_October,Physician_Visit_Practice,October!B68,Physician_Visit_Hospitalists,'Physician Types'!$D$81)*INDEX(Physician_Type_Hospitalists_Visit_Minutes,MATCH(October!B68,Physician_Type_Practice,0))/INDEX(Physician_Type_Visit_Minutes,MATCH(October!B68,Physician_Type_Practice,0)) +SUMIF(Physician_Minutes_Practice,October!B68,Physician_Minutes_October)/INDEX(Physician_Type_Visit_Minutes,MATCH(October!B68,Physician_Type_Practice,0))</f>
        <v>0</v>
      </c>
      <c r="D68" s="43">
        <f t="shared" si="5"/>
        <v>0</v>
      </c>
      <c r="E68" s="17">
        <f>INDEX(Physician_Type_Bed_Rate,MATCH(October!B68,Physician_Type_Practice,0))*'Hospital Input Page'!$C$4</f>
        <v>4644.9427860571295</v>
      </c>
      <c r="F68" s="9">
        <f t="shared" si="7"/>
        <v>0</v>
      </c>
      <c r="H68" s="5">
        <f t="array" ref="H68">SUMIFS(Physician_Visit_October, Physician_Visit_Practice, October!B68, Independent_Contractor_Visits,  'Physician Types'!$D$81) + SUMIFS(Physician_Minutes_October,Physician_Minutes_Practice,October!B68, Independent_Contractor_Minutes, 'Physician Types'!$D$81)/INDEX(Physician_Type_Visit_Minutes,MATCH(October!B68,Physician_Type_Practice,0))</f>
        <v>0</v>
      </c>
      <c r="I68" s="43">
        <f t="shared" si="6"/>
        <v>0</v>
      </c>
      <c r="J68" s="10">
        <f>E68*'Physician Types'!$E$4</f>
        <v>139.34828358171387</v>
      </c>
      <c r="K68" s="10">
        <f t="shared" si="8"/>
        <v>0</v>
      </c>
    </row>
    <row r="69" spans="1:11" x14ac:dyDescent="0.2">
      <c r="A69" s="158">
        <v>2</v>
      </c>
      <c r="B69" s="107" t="s">
        <v>43</v>
      </c>
      <c r="C69" s="5">
        <f>SUMIFS(Physician_Visit_October,Physician_Visit_Practice,October!B69,Physician_Visit_Hospitalists, "&lt;&gt;"&amp;'Physician Types'!$D$81)+SUMIFS(Physician_Visit_October,Physician_Visit_Practice,October!B69,Physician_Visit_Hospitalists,'Physician Types'!$D$81)*INDEX(Physician_Type_Hospitalists_Visit_Minutes,MATCH(October!B69,Physician_Type_Practice,0))/INDEX(Physician_Type_Visit_Minutes,MATCH(October!B69,Physician_Type_Practice,0)) +SUMIF(Physician_Minutes_Practice,October!B69,Physician_Minutes_October)/INDEX(Physician_Type_Visit_Minutes,MATCH(October!B69,Physician_Type_Practice,0))</f>
        <v>0</v>
      </c>
      <c r="D69" s="43">
        <f t="shared" si="5"/>
        <v>0</v>
      </c>
      <c r="E69" s="17">
        <f>INDEX(Physician_Type_Bed_Rate,MATCH(October!B69,Physician_Type_Practice,0))*'Hospital Input Page'!$C$4</f>
        <v>2539.1052792690443</v>
      </c>
      <c r="F69" s="9">
        <f t="shared" si="7"/>
        <v>0</v>
      </c>
      <c r="H69" s="5">
        <f t="array" ref="H69">SUMIFS(Physician_Visit_October, Physician_Visit_Practice, October!B69, Independent_Contractor_Visits,  'Physician Types'!$D$81) + SUMIFS(Physician_Minutes_October,Physician_Minutes_Practice,October!B69, Independent_Contractor_Minutes, 'Physician Types'!$D$81)/INDEX(Physician_Type_Visit_Minutes,MATCH(October!B69,Physician_Type_Practice,0))</f>
        <v>0</v>
      </c>
      <c r="I69" s="43">
        <f t="shared" si="6"/>
        <v>0</v>
      </c>
      <c r="J69" s="10">
        <f>E69*'Physician Types'!$E$4</f>
        <v>76.173158378071321</v>
      </c>
      <c r="K69" s="10">
        <f t="shared" si="8"/>
        <v>0</v>
      </c>
    </row>
    <row r="70" spans="1:11" x14ac:dyDescent="0.2">
      <c r="A70" s="158">
        <v>2</v>
      </c>
      <c r="B70" s="107" t="s">
        <v>44</v>
      </c>
      <c r="C70" s="5">
        <f>SUMIFS(Physician_Visit_October,Physician_Visit_Practice,October!B70,Physician_Visit_Hospitalists, "&lt;&gt;"&amp;'Physician Types'!$D$81)+SUMIFS(Physician_Visit_October,Physician_Visit_Practice,October!B70,Physician_Visit_Hospitalists,'Physician Types'!$D$81)*INDEX(Physician_Type_Hospitalists_Visit_Minutes,MATCH(October!B70,Physician_Type_Practice,0))/INDEX(Physician_Type_Visit_Minutes,MATCH(October!B70,Physician_Type_Practice,0)) +SUMIF(Physician_Minutes_Practice,October!B70,Physician_Minutes_October)/INDEX(Physician_Type_Visit_Minutes,MATCH(October!B70,Physician_Type_Practice,0))</f>
        <v>0</v>
      </c>
      <c r="D70" s="43">
        <f t="shared" si="5"/>
        <v>0</v>
      </c>
      <c r="E70" s="17">
        <f>INDEX(Physician_Type_Bed_Rate,MATCH(October!B70,Physician_Type_Practice,0))*'Hospital Input Page'!$C$4</f>
        <v>1619.8750052216039</v>
      </c>
      <c r="F70" s="9">
        <f t="shared" si="7"/>
        <v>0</v>
      </c>
      <c r="H70" s="5">
        <f t="array" ref="H70">SUMIFS(Physician_Visit_October, Physician_Visit_Practice, October!B70, Independent_Contractor_Visits,  'Physician Types'!$D$81) + SUMIFS(Physician_Minutes_October,Physician_Minutes_Practice,October!B70, Independent_Contractor_Minutes, 'Physician Types'!$D$81)/INDEX(Physician_Type_Visit_Minutes,MATCH(October!B70,Physician_Type_Practice,0))</f>
        <v>0</v>
      </c>
      <c r="I70" s="43">
        <f t="shared" si="6"/>
        <v>0</v>
      </c>
      <c r="J70" s="10">
        <f>E70*'Physician Types'!$E$4</f>
        <v>48.596250156648118</v>
      </c>
      <c r="K70" s="10">
        <f t="shared" si="8"/>
        <v>0</v>
      </c>
    </row>
    <row r="71" spans="1:11" x14ac:dyDescent="0.2">
      <c r="A71" s="158">
        <v>2</v>
      </c>
      <c r="B71" s="161" t="s">
        <v>154</v>
      </c>
      <c r="C71" s="5">
        <f>SUMIFS(Physician_Visit_October,Physician_Visit_Practice,October!B71,Physician_Visit_Hospitalists, "&lt;&gt;"&amp;'Physician Types'!$D$81)+SUMIFS(Physician_Visit_October,Physician_Visit_Practice,October!B71,Physician_Visit_Hospitalists,'Physician Types'!$D$81)*INDEX(Physician_Type_Hospitalists_Visit_Minutes,MATCH(October!B71,Physician_Type_Practice,0))/INDEX(Physician_Type_Visit_Minutes,MATCH(October!B71,Physician_Type_Practice,0)) +SUMIF(Physician_Minutes_Practice,October!B71,Physician_Minutes_October)/INDEX(Physician_Type_Visit_Minutes,MATCH(October!B71,Physician_Type_Practice,0))</f>
        <v>0</v>
      </c>
      <c r="D71" s="43">
        <f t="shared" si="5"/>
        <v>0</v>
      </c>
      <c r="E71" s="17">
        <f>INDEX(Physician_Type_Bed_Rate,MATCH(October!B71,Physician_Type_Practice,0))*'Hospital Input Page'!$C$4</f>
        <v>1951.6566327971132</v>
      </c>
      <c r="F71" s="9">
        <f t="shared" si="7"/>
        <v>0</v>
      </c>
      <c r="H71" s="5">
        <f t="array" ref="H71">SUMIFS(Physician_Visit_October, Physician_Visit_Practice, October!B71, Independent_Contractor_Visits,  'Physician Types'!$D$81) + SUMIFS(Physician_Minutes_October,Physician_Minutes_Practice,October!B71, Independent_Contractor_Minutes, 'Physician Types'!$D$81)/INDEX(Physician_Type_Visit_Minutes,MATCH(October!B71,Physician_Type_Practice,0))</f>
        <v>0</v>
      </c>
      <c r="I71" s="43">
        <f t="shared" si="6"/>
        <v>0</v>
      </c>
      <c r="J71" s="10">
        <f>E71*'Physician Types'!$E$4</f>
        <v>58.549698983913395</v>
      </c>
      <c r="K71" s="10">
        <f t="shared" si="8"/>
        <v>0</v>
      </c>
    </row>
    <row r="72" spans="1:11" x14ac:dyDescent="0.2">
      <c r="A72" s="158">
        <v>4</v>
      </c>
      <c r="B72" s="102" t="s">
        <v>62</v>
      </c>
      <c r="C72" s="5">
        <f>SUMIFS(Physician_Visit_October,Physician_Visit_Practice,October!B72,Physician_Visit_Hospitalists, "&lt;&gt;"&amp;'Physician Types'!$D$81)+SUMIFS(Physician_Visit_October,Physician_Visit_Practice,October!B72,Physician_Visit_Hospitalists,'Physician Types'!$D$81)*INDEX(Physician_Type_Hospitalists_Visit_Minutes,MATCH(October!B72,Physician_Type_Practice,0))/INDEX(Physician_Type_Visit_Minutes,MATCH(October!B72,Physician_Type_Practice,0)) +SUMIF(Physician_Minutes_Practice,October!B72,Physician_Minutes_October)/INDEX(Physician_Type_Visit_Minutes,MATCH(October!B72,Physician_Type_Practice,0))</f>
        <v>0</v>
      </c>
      <c r="D72" s="43">
        <f t="shared" si="5"/>
        <v>0</v>
      </c>
      <c r="E72" s="17">
        <f>INDEX(Physician_Type_Bed_Rate,MATCH(October!B72,Physician_Type_Practice,0))*'Hospital Input Page'!$C$4</f>
        <v>2529.3469961050587</v>
      </c>
      <c r="F72" s="9">
        <f t="shared" si="7"/>
        <v>0</v>
      </c>
      <c r="H72" s="5">
        <f t="array" ref="H72">SUMIFS(Physician_Visit_October, Physician_Visit_Practice, October!B72, Independent_Contractor_Visits,  'Physician Types'!$D$81) + SUMIFS(Physician_Minutes_October,Physician_Minutes_Practice,October!B72, Independent_Contractor_Minutes, 'Physician Types'!$D$81)/INDEX(Physician_Type_Visit_Minutes,MATCH(October!B72,Physician_Type_Practice,0))</f>
        <v>0</v>
      </c>
      <c r="I72" s="43">
        <f t="shared" si="6"/>
        <v>0</v>
      </c>
      <c r="J72" s="10">
        <f>E72*'Physician Types'!$E$4</f>
        <v>75.880409883151756</v>
      </c>
      <c r="K72" s="10">
        <f t="shared" si="8"/>
        <v>0</v>
      </c>
    </row>
    <row r="73" spans="1:11" x14ac:dyDescent="0.2">
      <c r="A73" s="158">
        <v>2</v>
      </c>
      <c r="B73" s="107" t="s">
        <v>45</v>
      </c>
      <c r="C73" s="5">
        <f>SUMIFS(Physician_Visit_October,Physician_Visit_Practice,October!B73,Physician_Visit_Hospitalists, "&lt;&gt;"&amp;'Physician Types'!$D$81)+SUMIFS(Physician_Visit_October,Physician_Visit_Practice,October!B73,Physician_Visit_Hospitalists,'Physician Types'!$D$81)*INDEX(Physician_Type_Hospitalists_Visit_Minutes,MATCH(October!B73,Physician_Type_Practice,0))/INDEX(Physician_Type_Visit_Minutes,MATCH(October!B73,Physician_Type_Practice,0)) +SUMIF(Physician_Minutes_Practice,October!B73,Physician_Minutes_October)/INDEX(Physician_Type_Visit_Minutes,MATCH(October!B73,Physician_Type_Practice,0))</f>
        <v>0</v>
      </c>
      <c r="D73" s="43">
        <f t="shared" si="5"/>
        <v>0</v>
      </c>
      <c r="E73" s="17">
        <f>INDEX(Physician_Type_Bed_Rate,MATCH(October!B73,Physician_Type_Practice,0))*'Hospital Input Page'!$C$4</f>
        <v>4844.0117626024357</v>
      </c>
      <c r="F73" s="9">
        <f t="shared" si="7"/>
        <v>0</v>
      </c>
      <c r="H73" s="5">
        <f t="array" ref="H73">SUMIFS(Physician_Visit_October, Physician_Visit_Practice, October!B73, Independent_Contractor_Visits,  'Physician Types'!$D$81) + SUMIFS(Physician_Minutes_October,Physician_Minutes_Practice,October!B73, Independent_Contractor_Minutes, 'Physician Types'!$D$81)/INDEX(Physician_Type_Visit_Minutes,MATCH(October!B73,Physician_Type_Practice,0))</f>
        <v>0</v>
      </c>
      <c r="I73" s="43">
        <f t="shared" si="6"/>
        <v>0</v>
      </c>
      <c r="J73" s="10">
        <f>E73*'Physician Types'!$E$4</f>
        <v>145.32035287807307</v>
      </c>
      <c r="K73" s="10">
        <f t="shared" si="8"/>
        <v>0</v>
      </c>
    </row>
    <row r="74" spans="1:11" x14ac:dyDescent="0.2">
      <c r="A74" s="158">
        <v>4</v>
      </c>
      <c r="B74" s="107" t="s">
        <v>63</v>
      </c>
      <c r="C74" s="5">
        <f>SUMIFS(Physician_Visit_October,Physician_Visit_Practice,October!B74,Physician_Visit_Hospitalists, "&lt;&gt;"&amp;'Physician Types'!$D$81)+SUMIFS(Physician_Visit_October,Physician_Visit_Practice,October!B74,Physician_Visit_Hospitalists,'Physician Types'!$D$81)*INDEX(Physician_Type_Hospitalists_Visit_Minutes,MATCH(October!B74,Physician_Type_Practice,0))/INDEX(Physician_Type_Visit_Minutes,MATCH(October!B74,Physician_Type_Practice,0)) +SUMIF(Physician_Minutes_Practice,October!B74,Physician_Minutes_October)/INDEX(Physician_Type_Visit_Minutes,MATCH(October!B74,Physician_Type_Practice,0))</f>
        <v>0</v>
      </c>
      <c r="D74" s="43">
        <f t="shared" si="5"/>
        <v>0</v>
      </c>
      <c r="E74" s="17">
        <f>INDEX(Physician_Type_Bed_Rate,MATCH(October!B74,Physician_Type_Practice,0))*'Hospital Input Page'!$C$4</f>
        <v>2539.1052792690443</v>
      </c>
      <c r="F74" s="9">
        <f t="shared" si="7"/>
        <v>0</v>
      </c>
      <c r="H74" s="5">
        <f t="array" ref="H74">SUMIFS(Physician_Visit_October, Physician_Visit_Practice, October!B74, Independent_Contractor_Visits,  'Physician Types'!$D$81) + SUMIFS(Physician_Minutes_October,Physician_Minutes_Practice,October!B74, Independent_Contractor_Minutes, 'Physician Types'!$D$81)/INDEX(Physician_Type_Visit_Minutes,MATCH(October!B74,Physician_Type_Practice,0))</f>
        <v>0</v>
      </c>
      <c r="I74" s="43">
        <f t="shared" si="6"/>
        <v>0</v>
      </c>
      <c r="J74" s="10">
        <f>E74*'Physician Types'!$E$4</f>
        <v>76.173158378071321</v>
      </c>
      <c r="K74" s="10">
        <f t="shared" si="8"/>
        <v>0</v>
      </c>
    </row>
    <row r="75" spans="1:11" x14ac:dyDescent="0.2">
      <c r="A75" s="158">
        <v>2</v>
      </c>
      <c r="B75" s="107" t="s">
        <v>46</v>
      </c>
      <c r="C75" s="5">
        <f>SUMIFS(Physician_Visit_October,Physician_Visit_Practice,October!B75,Physician_Visit_Hospitalists, "&lt;&gt;"&amp;'Physician Types'!$D$81)+SUMIFS(Physician_Visit_October,Physician_Visit_Practice,October!B75,Physician_Visit_Hospitalists,'Physician Types'!$D$81)*INDEX(Physician_Type_Hospitalists_Visit_Minutes,MATCH(October!B75,Physician_Type_Practice,0))/INDEX(Physician_Type_Visit_Minutes,MATCH(October!B75,Physician_Type_Practice,0)) +SUMIF(Physician_Minutes_Practice,October!B75,Physician_Minutes_October)/INDEX(Physician_Type_Visit_Minutes,MATCH(October!B75,Physician_Type_Practice,0))</f>
        <v>0</v>
      </c>
      <c r="D75" s="43">
        <f t="shared" si="5"/>
        <v>0</v>
      </c>
      <c r="E75" s="17">
        <f>INDEX(Physician_Type_Bed_Rate,MATCH(October!B75,Physician_Type_Practice,0))*'Hospital Input Page'!$C$4</f>
        <v>1619.8750052216039</v>
      </c>
      <c r="F75" s="9">
        <f t="shared" si="7"/>
        <v>0</v>
      </c>
      <c r="H75" s="5">
        <f t="array" ref="H75">SUMIFS(Physician_Visit_October, Physician_Visit_Practice, October!B75, Independent_Contractor_Visits,  'Physician Types'!$D$81) + SUMIFS(Physician_Minutes_October,Physician_Minutes_Practice,October!B75, Independent_Contractor_Minutes, 'Physician Types'!$D$81)/INDEX(Physician_Type_Visit_Minutes,MATCH(October!B75,Physician_Type_Practice,0))</f>
        <v>0</v>
      </c>
      <c r="I75" s="43">
        <f t="shared" si="6"/>
        <v>0</v>
      </c>
      <c r="J75" s="10">
        <f>E75*'Physician Types'!$E$4</f>
        <v>48.596250156648118</v>
      </c>
      <c r="K75" s="10">
        <f t="shared" si="8"/>
        <v>0</v>
      </c>
    </row>
    <row r="76" spans="1:11" x14ac:dyDescent="0.2">
      <c r="A76" s="158">
        <v>3</v>
      </c>
      <c r="B76" s="102" t="s">
        <v>54</v>
      </c>
      <c r="C76" s="5">
        <f>SUMIFS(Physician_Visit_October,Physician_Visit_Practice,October!B76,Physician_Visit_Hospitalists, "&lt;&gt;"&amp;'Physician Types'!$D$81)+SUMIFS(Physician_Visit_October,Physician_Visit_Practice,October!B76,Physician_Visit_Hospitalists,'Physician Types'!$D$81)*INDEX(Physician_Type_Hospitalists_Visit_Minutes,MATCH(October!B76,Physician_Type_Practice,0))/INDEX(Physician_Type_Visit_Minutes,MATCH(October!B76,Physician_Type_Practice,0)) +SUMIF(Physician_Minutes_Practice,October!B76,Physician_Minutes_October)/INDEX(Physician_Type_Visit_Minutes,MATCH(October!B76,Physician_Type_Practice,0))</f>
        <v>0</v>
      </c>
      <c r="D76" s="43">
        <f t="shared" si="5"/>
        <v>0</v>
      </c>
      <c r="E76" s="17">
        <f>INDEX(Physician_Type_Bed_Rate,MATCH(October!B76,Physician_Type_Practice,0))*'Hospital Input Page'!$C$4</f>
        <v>2699.1411231584075</v>
      </c>
      <c r="F76" s="9">
        <f t="shared" si="7"/>
        <v>0</v>
      </c>
      <c r="H76" s="5">
        <f t="array" ref="H76">SUMIFS(Physician_Visit_October, Physician_Visit_Practice, October!B76, Independent_Contractor_Visits,  'Physician Types'!$D$81) + SUMIFS(Physician_Minutes_October,Physician_Minutes_Practice,October!B76, Independent_Contractor_Minutes, 'Physician Types'!$D$81)/INDEX(Physician_Type_Visit_Minutes,MATCH(October!B76,Physician_Type_Practice,0))</f>
        <v>0</v>
      </c>
      <c r="I76" s="43">
        <f t="shared" si="6"/>
        <v>0</v>
      </c>
      <c r="J76" s="10">
        <f>E76*'Physician Types'!$E$4</f>
        <v>80.974233694752215</v>
      </c>
      <c r="K76" s="10">
        <f t="shared" si="8"/>
        <v>0</v>
      </c>
    </row>
    <row r="77" spans="1:11" x14ac:dyDescent="0.2">
      <c r="A77" s="158">
        <v>3</v>
      </c>
      <c r="B77" s="102" t="s">
        <v>55</v>
      </c>
      <c r="C77" s="5">
        <f>SUMIFS(Physician_Visit_October,Physician_Visit_Practice,October!B77,Physician_Visit_Hospitalists, "&lt;&gt;"&amp;'Physician Types'!$D$81)+SUMIFS(Physician_Visit_October,Physician_Visit_Practice,October!B77,Physician_Visit_Hospitalists,'Physician Types'!$D$81)*INDEX(Physician_Type_Hospitalists_Visit_Minutes,MATCH(October!B77,Physician_Type_Practice,0))/INDEX(Physician_Type_Visit_Minutes,MATCH(October!B77,Physician_Type_Practice,0)) +SUMIF(Physician_Minutes_Practice,October!B77,Physician_Minutes_October)/INDEX(Physician_Type_Visit_Minutes,MATCH(October!B77,Physician_Type_Practice,0))</f>
        <v>0</v>
      </c>
      <c r="D77" s="43">
        <f t="shared" si="5"/>
        <v>0</v>
      </c>
      <c r="E77" s="17">
        <f>INDEX(Physician_Type_Bed_Rate,MATCH(October!B77,Physician_Type_Practice,0))*'Hospital Input Page'!$C$4</f>
        <v>2222.9369047559121</v>
      </c>
      <c r="F77" s="9">
        <f t="shared" si="7"/>
        <v>0</v>
      </c>
      <c r="H77" s="5">
        <f t="array" ref="H77">SUMIFS(Physician_Visit_October, Physician_Visit_Practice, October!B77, Independent_Contractor_Visits,  'Physician Types'!$D$81) + SUMIFS(Physician_Minutes_October,Physician_Minutes_Practice,October!B77, Independent_Contractor_Minutes, 'Physician Types'!$D$81)/INDEX(Physician_Type_Visit_Minutes,MATCH(October!B77,Physician_Type_Practice,0))</f>
        <v>0</v>
      </c>
      <c r="I77" s="43">
        <f t="shared" si="6"/>
        <v>0</v>
      </c>
      <c r="J77" s="10">
        <f>E77*'Physician Types'!$E$4</f>
        <v>66.688107142677367</v>
      </c>
      <c r="K77" s="10">
        <f t="shared" si="8"/>
        <v>0</v>
      </c>
    </row>
    <row r="78" spans="1:11" x14ac:dyDescent="0.2">
      <c r="A78" s="158">
        <v>8</v>
      </c>
      <c r="B78" s="102" t="s">
        <v>77</v>
      </c>
      <c r="C78" s="5">
        <f>SUMIFS(Physician_Visit_October,Physician_Visit_Practice,October!B78,Physician_Visit_Hospitalists, "&lt;&gt;"&amp;'Physician Types'!$D$81)+SUMIFS(Physician_Visit_October,Physician_Visit_Practice,October!B78,Physician_Visit_Hospitalists,'Physician Types'!$D$81)*INDEX(Physician_Type_Hospitalists_Visit_Minutes,MATCH(October!B78,Physician_Type_Practice,0))/INDEX(Physician_Type_Visit_Minutes,MATCH(October!B78,Physician_Type_Practice,0)) +SUMIF(Physician_Minutes_Practice,October!B78,Physician_Minutes_October)/INDEX(Physician_Type_Visit_Minutes,MATCH(October!B78,Physician_Type_Practice,0))</f>
        <v>0</v>
      </c>
      <c r="D78" s="43">
        <f t="shared" ref="D78:D110" si="9">C78*INDEX(Physician_Type_Visit_Minutes,MATCH(B78,Physician_Type_Practice,0))/INDEX(Physician_Type_FTE_Minutes,MATCH(B78,Physician_Type_Practice,0))</f>
        <v>0</v>
      </c>
      <c r="E78" s="17">
        <f>INDEX(Physician_Type_Bed_Rate,MATCH(October!B78,Physician_Type_Practice,0))*'Hospital Input Page'!$C$4</f>
        <v>11024.908318670894</v>
      </c>
      <c r="F78" s="9">
        <f t="shared" si="7"/>
        <v>0</v>
      </c>
      <c r="H78" s="5">
        <f t="array" ref="H78">SUMIFS(Physician_Visit_October, Physician_Visit_Practice, October!B78, Independent_Contractor_Visits,  'Physician Types'!$D$81) + SUMIFS(Physician_Minutes_October,Physician_Minutes_Practice,October!B78, Independent_Contractor_Minutes, 'Physician Types'!$D$81)/INDEX(Physician_Type_Visit_Minutes,MATCH(October!B78,Physician_Type_Practice,0))</f>
        <v>0</v>
      </c>
      <c r="I78" s="43">
        <f t="shared" ref="I78:I110" si="10">H78*INDEX(Physician_Type_Visit_Minutes,MATCH(B78,Physician_Type_Practice,0))/INDEX(Physician_Type_FTE_Minutes,MATCH(B78,Physician_Type_Practice,0))</f>
        <v>0</v>
      </c>
      <c r="J78" s="10">
        <f>E78*'Physician Types'!$E$4</f>
        <v>330.74724956012682</v>
      </c>
      <c r="K78" s="10">
        <f t="shared" si="8"/>
        <v>0</v>
      </c>
    </row>
    <row r="79" spans="1:11" x14ac:dyDescent="0.2">
      <c r="A79" s="158"/>
      <c r="B79" s="102" t="s">
        <v>79</v>
      </c>
      <c r="C79" s="5">
        <f>SUMIFS(Physician_Visit_October,Physician_Visit_Practice,October!B79,Physician_Visit_Hospitalists, "&lt;&gt;"&amp;'Physician Types'!$D$81)+SUMIFS(Physician_Visit_October,Physician_Visit_Practice,October!B79,Physician_Visit_Hospitalists,'Physician Types'!$D$81)*INDEX(Physician_Type_Hospitalists_Visit_Minutes,MATCH(October!B79,Physician_Type_Practice,0))/INDEX(Physician_Type_Visit_Minutes,MATCH(October!B79,Physician_Type_Practice,0)) +SUMIF(Physician_Minutes_Practice,October!B79,Physician_Minutes_October)/INDEX(Physician_Type_Visit_Minutes,MATCH(October!B79,Physician_Type_Practice,0))</f>
        <v>0</v>
      </c>
      <c r="D79" s="43">
        <f t="shared" si="9"/>
        <v>0</v>
      </c>
      <c r="E79" s="17">
        <f>INDEX(Physician_Type_Bed_Rate,MATCH(October!B79,Physician_Type_Practice,0))*'Hospital Input Page'!$C$4</f>
        <v>858.72891843072989</v>
      </c>
      <c r="F79" s="9">
        <f t="shared" si="7"/>
        <v>0</v>
      </c>
      <c r="H79" s="5">
        <f t="array" ref="H79">SUMIFS(Physician_Visit_October, Physician_Visit_Practice, October!B79, Independent_Contractor_Visits,  'Physician Types'!$D$81) + SUMIFS(Physician_Minutes_October,Physician_Minutes_Practice,October!B79, Independent_Contractor_Minutes, 'Physician Types'!$D$81)/INDEX(Physician_Type_Visit_Minutes,MATCH(October!B79,Physician_Type_Practice,0))</f>
        <v>0</v>
      </c>
      <c r="I79" s="43">
        <f t="shared" si="10"/>
        <v>0</v>
      </c>
      <c r="J79" s="10">
        <f>E79*'Physician Types'!$E$4</f>
        <v>25.761867552921895</v>
      </c>
      <c r="K79" s="10">
        <f t="shared" si="8"/>
        <v>0</v>
      </c>
    </row>
    <row r="80" spans="1:11" x14ac:dyDescent="0.2">
      <c r="A80" s="158">
        <v>5</v>
      </c>
      <c r="B80" s="102" t="s">
        <v>67</v>
      </c>
      <c r="C80" s="5">
        <f>SUMIFS(Physician_Visit_October,Physician_Visit_Practice,October!B80,Physician_Visit_Hospitalists, "&lt;&gt;"&amp;'Physician Types'!$D$81)+SUMIFS(Physician_Visit_October,Physician_Visit_Practice,October!B80,Physician_Visit_Hospitalists,'Physician Types'!$D$81)*INDEX(Physician_Type_Hospitalists_Visit_Minutes,MATCH(October!B80,Physician_Type_Practice,0))/INDEX(Physician_Type_Visit_Minutes,MATCH(October!B80,Physician_Type_Practice,0)) +SUMIF(Physician_Minutes_Practice,October!B80,Physician_Minutes_October)/INDEX(Physician_Type_Visit_Minutes,MATCH(October!B80,Physician_Type_Practice,0))</f>
        <v>0</v>
      </c>
      <c r="D80" s="43">
        <f t="shared" si="9"/>
        <v>0</v>
      </c>
      <c r="E80" s="17">
        <f>INDEX(Physician_Type_Bed_Rate,MATCH(October!B80,Physician_Type_Practice,0))*'Hospital Input Page'!$C$4</f>
        <v>1955.5599460627077</v>
      </c>
      <c r="F80" s="9">
        <f t="shared" si="7"/>
        <v>0</v>
      </c>
      <c r="H80" s="5">
        <f t="array" ref="H80">SUMIFS(Physician_Visit_October, Physician_Visit_Practice, October!B80, Independent_Contractor_Visits,  'Physician Types'!$D$81) + SUMIFS(Physician_Minutes_October,Physician_Minutes_Practice,October!B80, Independent_Contractor_Minutes, 'Physician Types'!$D$81)/INDEX(Physician_Type_Visit_Minutes,MATCH(October!B80,Physician_Type_Practice,0))</f>
        <v>0</v>
      </c>
      <c r="I80" s="43">
        <f t="shared" si="10"/>
        <v>0</v>
      </c>
      <c r="J80" s="10">
        <f>E80*'Physician Types'!$E$4</f>
        <v>58.666798381881229</v>
      </c>
      <c r="K80" s="10">
        <f t="shared" si="8"/>
        <v>0</v>
      </c>
    </row>
    <row r="81" spans="1:11" x14ac:dyDescent="0.2">
      <c r="A81" s="158"/>
      <c r="B81" s="102" t="s">
        <v>80</v>
      </c>
      <c r="C81" s="5">
        <f>SUMIFS(Physician_Visit_October,Physician_Visit_Practice,October!B81,Physician_Visit_Hospitalists, "&lt;&gt;"&amp;'Physician Types'!$D$81)+SUMIFS(Physician_Visit_October,Physician_Visit_Practice,October!B81,Physician_Visit_Hospitalists,'Physician Types'!$D$81)*INDEX(Physician_Type_Hospitalists_Visit_Minutes,MATCH(October!B81,Physician_Type_Practice,0))/INDEX(Physician_Type_Visit_Minutes,MATCH(October!B81,Physician_Type_Practice,0)) +SUMIF(Physician_Minutes_Practice,October!B81,Physician_Minutes_October)/INDEX(Physician_Type_Visit_Minutes,MATCH(October!B81,Physician_Type_Practice,0))</f>
        <v>0</v>
      </c>
      <c r="D81" s="43">
        <f t="shared" si="9"/>
        <v>0</v>
      </c>
      <c r="E81" s="17">
        <f>INDEX(Physician_Type_Bed_Rate,MATCH(October!B81,Physician_Type_Practice,0))*'Hospital Input Page'!$C$4</f>
        <v>493.76912809766964</v>
      </c>
      <c r="F81" s="9">
        <f t="shared" si="7"/>
        <v>0</v>
      </c>
      <c r="H81" s="5">
        <f t="array" ref="H81">SUMIFS(Physician_Visit_October, Physician_Visit_Practice, October!B81, Independent_Contractor_Visits,  'Physician Types'!$D$81) + SUMIFS(Physician_Minutes_October,Physician_Minutes_Practice,October!B81, Independent_Contractor_Minutes, 'Physician Types'!$D$81)/INDEX(Physician_Type_Visit_Minutes,MATCH(October!B81,Physician_Type_Practice,0))</f>
        <v>0</v>
      </c>
      <c r="I81" s="43">
        <f t="shared" si="10"/>
        <v>0</v>
      </c>
      <c r="J81" s="10">
        <f>E81*'Physician Types'!$E$4</f>
        <v>14.813073842930088</v>
      </c>
      <c r="K81" s="10">
        <f t="shared" si="8"/>
        <v>0</v>
      </c>
    </row>
    <row r="82" spans="1:11" x14ac:dyDescent="0.2">
      <c r="A82" s="158">
        <v>8</v>
      </c>
      <c r="B82" s="128" t="s">
        <v>139</v>
      </c>
      <c r="C82" s="5">
        <f>SUMIFS(Physician_Visit_October,Physician_Visit_Practice,October!B82,Physician_Visit_Hospitalists, "&lt;&gt;"&amp;'Physician Types'!$D$81)+SUMIFS(Physician_Visit_October,Physician_Visit_Practice,October!B82,Physician_Visit_Hospitalists,'Physician Types'!$D$81)*INDEX(Physician_Type_Hospitalists_Visit_Minutes,MATCH(October!B82,Physician_Type_Practice,0))/INDEX(Physician_Type_Visit_Minutes,MATCH(October!B82,Physician_Type_Practice,0)) +SUMIF(Physician_Minutes_Practice,October!B82,Physician_Minutes_October)/INDEX(Physician_Type_Visit_Minutes,MATCH(October!B82,Physician_Type_Practice,0))</f>
        <v>0</v>
      </c>
      <c r="D82" s="43">
        <f t="shared" si="9"/>
        <v>0</v>
      </c>
      <c r="E82" s="17">
        <f>INDEX(Physician_Type_Bed_Rate,MATCH(October!B82,Physician_Type_Practice,0))*'Hospital Input Page'!$C$4</f>
        <v>8509.2229189954141</v>
      </c>
      <c r="F82" s="9">
        <f t="shared" si="7"/>
        <v>0</v>
      </c>
      <c r="H82" s="5">
        <f t="array" ref="H82">SUMIFS(Physician_Visit_October, Physician_Visit_Practice, October!B82, Independent_Contractor_Visits,  'Physician Types'!$D$81) + SUMIFS(Physician_Minutes_October,Physician_Minutes_Practice,October!B82, Independent_Contractor_Minutes, 'Physician Types'!$D$81)/INDEX(Physician_Type_Visit_Minutes,MATCH(October!B82,Physician_Type_Practice,0))</f>
        <v>0</v>
      </c>
      <c r="I82" s="43">
        <f t="shared" si="10"/>
        <v>0</v>
      </c>
      <c r="J82" s="10">
        <f>E82*'Physician Types'!$E$4</f>
        <v>255.27668756986242</v>
      </c>
      <c r="K82" s="10">
        <f t="shared" si="8"/>
        <v>0</v>
      </c>
    </row>
    <row r="83" spans="1:11" x14ac:dyDescent="0.2">
      <c r="A83" s="158">
        <v>8</v>
      </c>
      <c r="B83" s="102" t="s">
        <v>78</v>
      </c>
      <c r="C83" s="5">
        <f>SUMIFS(Physician_Visit_October,Physician_Visit_Practice,October!B83,Physician_Visit_Hospitalists, "&lt;&gt;"&amp;'Physician Types'!$D$81)+SUMIFS(Physician_Visit_October,Physician_Visit_Practice,October!B83,Physician_Visit_Hospitalists,'Physician Types'!$D$81)*INDEX(Physician_Type_Hospitalists_Visit_Minutes,MATCH(October!B83,Physician_Type_Practice,0))/INDEX(Physician_Type_Visit_Minutes,MATCH(October!B83,Physician_Type_Practice,0)) +SUMIF(Physician_Minutes_Practice,October!B83,Physician_Minutes_October)/INDEX(Physician_Type_Visit_Minutes,MATCH(October!B83,Physician_Type_Practice,0))</f>
        <v>0</v>
      </c>
      <c r="D83" s="43">
        <f t="shared" si="9"/>
        <v>0</v>
      </c>
      <c r="E83" s="17">
        <f>INDEX(Physician_Type_Bed_Rate,MATCH(October!B83,Physician_Type_Practice,0))*'Hospital Input Page'!$C$4</f>
        <v>8509.2229189954141</v>
      </c>
      <c r="F83" s="9">
        <f t="shared" si="7"/>
        <v>0</v>
      </c>
      <c r="H83" s="5">
        <f t="array" ref="H83">SUMIFS(Physician_Visit_October, Physician_Visit_Practice, October!B83, Independent_Contractor_Visits,  'Physician Types'!$D$81) + SUMIFS(Physician_Minutes_October,Physician_Minutes_Practice,October!B83, Independent_Contractor_Minutes, 'Physician Types'!$D$81)/INDEX(Physician_Type_Visit_Minutes,MATCH(October!B83,Physician_Type_Practice,0))</f>
        <v>0</v>
      </c>
      <c r="I83" s="43">
        <f t="shared" si="10"/>
        <v>0</v>
      </c>
      <c r="J83" s="10">
        <f>E83*'Physician Types'!$E$4</f>
        <v>255.27668756986242</v>
      </c>
      <c r="K83" s="10">
        <f t="shared" si="8"/>
        <v>0</v>
      </c>
    </row>
    <row r="84" spans="1:11" x14ac:dyDescent="0.2">
      <c r="A84" s="158">
        <v>2</v>
      </c>
      <c r="B84" s="107" t="s">
        <v>47</v>
      </c>
      <c r="C84" s="5">
        <f>SUMIFS(Physician_Visit_October,Physician_Visit_Practice,October!B84,Physician_Visit_Hospitalists, "&lt;&gt;"&amp;'Physician Types'!$D$81)+SUMIFS(Physician_Visit_October,Physician_Visit_Practice,October!B84,Physician_Visit_Hospitalists,'Physician Types'!$D$81)*INDEX(Physician_Type_Hospitalists_Visit_Minutes,MATCH(October!B84,Physician_Type_Practice,0))/INDEX(Physician_Type_Visit_Minutes,MATCH(October!B84,Physician_Type_Practice,0)) +SUMIF(Physician_Minutes_Practice,October!B84,Physician_Minutes_October)/INDEX(Physician_Type_Visit_Minutes,MATCH(October!B84,Physician_Type_Practice,0))</f>
        <v>0</v>
      </c>
      <c r="D84" s="43">
        <f t="shared" si="9"/>
        <v>0</v>
      </c>
      <c r="E84" s="17">
        <f>INDEX(Physician_Type_Bed_Rate,MATCH(October!B84,Physician_Type_Practice,0))*'Hospital Input Page'!$C$4</f>
        <v>1727.2161200254454</v>
      </c>
      <c r="F84" s="9">
        <f t="shared" si="7"/>
        <v>0</v>
      </c>
      <c r="H84" s="5">
        <f t="array" ref="H84">SUMIFS(Physician_Visit_October, Physician_Visit_Practice, October!B84, Independent_Contractor_Visits,  'Physician Types'!$D$81) + SUMIFS(Physician_Minutes_October,Physician_Minutes_Practice,October!B84, Independent_Contractor_Minutes, 'Physician Types'!$D$81)/INDEX(Physician_Type_Visit_Minutes,MATCH(October!B84,Physician_Type_Practice,0))</f>
        <v>0</v>
      </c>
      <c r="I84" s="43">
        <f t="shared" si="10"/>
        <v>0</v>
      </c>
      <c r="J84" s="10">
        <f>E84*'Physician Types'!$E$4</f>
        <v>51.816483600763362</v>
      </c>
      <c r="K84" s="10">
        <f t="shared" si="8"/>
        <v>0</v>
      </c>
    </row>
    <row r="85" spans="1:11" x14ac:dyDescent="0.2">
      <c r="A85" s="158">
        <v>3</v>
      </c>
      <c r="B85" s="102" t="s">
        <v>56</v>
      </c>
      <c r="C85" s="5">
        <f>SUMIFS(Physician_Visit_October,Physician_Visit_Practice,October!B85,Physician_Visit_Hospitalists, "&lt;&gt;"&amp;'Physician Types'!$D$81)+SUMIFS(Physician_Visit_October,Physician_Visit_Practice,October!B85,Physician_Visit_Hospitalists,'Physician Types'!$D$81)*INDEX(Physician_Type_Hospitalists_Visit_Minutes,MATCH(October!B85,Physician_Type_Practice,0))/INDEX(Physician_Type_Visit_Minutes,MATCH(October!B85,Physician_Type_Practice,0)) +SUMIF(Physician_Minutes_Practice,October!B85,Physician_Minutes_October)/INDEX(Physician_Type_Visit_Minutes,MATCH(October!B85,Physician_Type_Practice,0))</f>
        <v>0</v>
      </c>
      <c r="D85" s="43">
        <f t="shared" si="9"/>
        <v>0</v>
      </c>
      <c r="E85" s="17">
        <f>INDEX(Physician_Type_Bed_Rate,MATCH(October!B85,Physician_Type_Practice,0))*'Hospital Input Page'!$C$4</f>
        <v>1842.3638613604746</v>
      </c>
      <c r="F85" s="9">
        <f t="shared" si="7"/>
        <v>0</v>
      </c>
      <c r="H85" s="5">
        <f t="array" ref="H85">SUMIFS(Physician_Visit_October, Physician_Visit_Practice, October!B85, Independent_Contractor_Visits,  'Physician Types'!$D$81) + SUMIFS(Physician_Minutes_October,Physician_Minutes_Practice,October!B85, Independent_Contractor_Minutes, 'Physician Types'!$D$81)/INDEX(Physician_Type_Visit_Minutes,MATCH(October!B85,Physician_Type_Practice,0))</f>
        <v>0</v>
      </c>
      <c r="I85" s="43">
        <f t="shared" si="10"/>
        <v>0</v>
      </c>
      <c r="J85" s="10">
        <f>E85*'Physician Types'!$E$4</f>
        <v>55.27091584081424</v>
      </c>
      <c r="K85" s="10">
        <f t="shared" si="8"/>
        <v>0</v>
      </c>
    </row>
    <row r="86" spans="1:11" x14ac:dyDescent="0.2">
      <c r="A86" s="158">
        <v>3</v>
      </c>
      <c r="B86" s="102" t="s">
        <v>57</v>
      </c>
      <c r="C86" s="5">
        <f>SUMIFS(Physician_Visit_October,Physician_Visit_Practice,October!B86,Physician_Visit_Hospitalists, "&lt;&gt;"&amp;'Physician Types'!$D$81)+SUMIFS(Physician_Visit_October,Physician_Visit_Practice,October!B86,Physician_Visit_Hospitalists,'Physician Types'!$D$81)*INDEX(Physician_Type_Hospitalists_Visit_Minutes,MATCH(October!B86,Physician_Type_Practice,0))/INDEX(Physician_Type_Visit_Minutes,MATCH(October!B86,Physician_Type_Practice,0)) +SUMIF(Physician_Minutes_Practice,October!B86,Physician_Minutes_October)/INDEX(Physician_Type_Visit_Minutes,MATCH(October!B86,Physician_Type_Practice,0))</f>
        <v>0</v>
      </c>
      <c r="D86" s="43">
        <f t="shared" si="9"/>
        <v>0</v>
      </c>
      <c r="E86" s="17">
        <f>INDEX(Physician_Type_Bed_Rate,MATCH(October!B86,Physician_Type_Practice,0))*'Hospital Input Page'!$C$4</f>
        <v>1165.1390097798767</v>
      </c>
      <c r="F86" s="9">
        <f t="shared" si="7"/>
        <v>0</v>
      </c>
      <c r="H86" s="5">
        <f t="array" ref="H86">SUMIFS(Physician_Visit_October, Physician_Visit_Practice, October!B86, Independent_Contractor_Visits,  'Physician Types'!$D$81) + SUMIFS(Physician_Minutes_October,Physician_Minutes_Practice,October!B86, Independent_Contractor_Minutes, 'Physician Types'!$D$81)/INDEX(Physician_Type_Visit_Minutes,MATCH(October!B86,Physician_Type_Practice,0))</f>
        <v>0</v>
      </c>
      <c r="I86" s="43">
        <f t="shared" si="10"/>
        <v>0</v>
      </c>
      <c r="J86" s="10">
        <f>E86*'Physician Types'!$E$4</f>
        <v>34.954170293396302</v>
      </c>
      <c r="K86" s="10">
        <f t="shared" si="8"/>
        <v>0</v>
      </c>
    </row>
    <row r="87" spans="1:11" x14ac:dyDescent="0.2">
      <c r="A87" s="158">
        <v>3</v>
      </c>
      <c r="B87" s="102" t="s">
        <v>58</v>
      </c>
      <c r="C87" s="5">
        <f>SUMIFS(Physician_Visit_October,Physician_Visit_Practice,October!B87,Physician_Visit_Hospitalists, "&lt;&gt;"&amp;'Physician Types'!$D$81)+SUMIFS(Physician_Visit_October,Physician_Visit_Practice,October!B87,Physician_Visit_Hospitalists,'Physician Types'!$D$81)*INDEX(Physician_Type_Hospitalists_Visit_Minutes,MATCH(October!B87,Physician_Type_Practice,0))/INDEX(Physician_Type_Visit_Minutes,MATCH(October!B87,Physician_Type_Practice,0)) +SUMIF(Physician_Minutes_Practice,October!B87,Physician_Minutes_October)/INDEX(Physician_Type_Visit_Minutes,MATCH(October!B87,Physician_Type_Practice,0))</f>
        <v>0</v>
      </c>
      <c r="D87" s="43">
        <f t="shared" si="9"/>
        <v>0</v>
      </c>
      <c r="E87" s="17">
        <f>INDEX(Physician_Type_Bed_Rate,MATCH(October!B87,Physician_Type_Practice,0))*'Hospital Input Page'!$C$4</f>
        <v>2406.3926282388406</v>
      </c>
      <c r="F87" s="9">
        <f t="shared" si="7"/>
        <v>0</v>
      </c>
      <c r="H87" s="5">
        <f t="array" ref="H87">SUMIFS(Physician_Visit_October, Physician_Visit_Practice, October!B87, Independent_Contractor_Visits,  'Physician Types'!$D$81) + SUMIFS(Physician_Minutes_October,Physician_Minutes_Practice,October!B87, Independent_Contractor_Minutes, 'Physician Types'!$D$81)/INDEX(Physician_Type_Visit_Minutes,MATCH(October!B87,Physician_Type_Practice,0))</f>
        <v>0</v>
      </c>
      <c r="I87" s="43">
        <f t="shared" si="10"/>
        <v>0</v>
      </c>
      <c r="J87" s="10">
        <f>E87*'Physician Types'!$E$4</f>
        <v>72.19177884716521</v>
      </c>
      <c r="K87" s="10">
        <f t="shared" si="8"/>
        <v>0</v>
      </c>
    </row>
    <row r="88" spans="1:11" x14ac:dyDescent="0.2">
      <c r="A88" s="158">
        <v>7</v>
      </c>
      <c r="B88" s="102" t="s">
        <v>73</v>
      </c>
      <c r="C88" s="5">
        <f>SUMIFS(Physician_Visit_October,Physician_Visit_Practice,October!B88,Physician_Visit_Hospitalists, "&lt;&gt;"&amp;'Physician Types'!$D$81)+SUMIFS(Physician_Visit_October,Physician_Visit_Practice,October!B88,Physician_Visit_Hospitalists,'Physician Types'!$D$81)*INDEX(Physician_Type_Hospitalists_Visit_Minutes,MATCH(October!B88,Physician_Type_Practice,0))/INDEX(Physician_Type_Visit_Minutes,MATCH(October!B88,Physician_Type_Practice,0)) +SUMIF(Physician_Minutes_Practice,October!B88,Physician_Minutes_October)/INDEX(Physician_Type_Visit_Minutes,MATCH(October!B88,Physician_Type_Practice,0))</f>
        <v>0</v>
      </c>
      <c r="D88" s="43">
        <f t="shared" si="9"/>
        <v>0</v>
      </c>
      <c r="E88" s="17">
        <f>INDEX(Physician_Type_Bed_Rate,MATCH(October!B88,Physician_Type_Practice,0))*'Hospital Input Page'!$C$4</f>
        <v>7172.3381255293916</v>
      </c>
      <c r="F88" s="9">
        <f t="shared" si="7"/>
        <v>0</v>
      </c>
      <c r="H88" s="5">
        <f t="array" ref="H88">SUMIFS(Physician_Visit_October, Physician_Visit_Practice, October!B88, Independent_Contractor_Visits,  'Physician Types'!$D$81) + SUMIFS(Physician_Minutes_October,Physician_Minutes_Practice,October!B88, Independent_Contractor_Minutes, 'Physician Types'!$D$81)/INDEX(Physician_Type_Visit_Minutes,MATCH(October!B88,Physician_Type_Practice,0))</f>
        <v>0</v>
      </c>
      <c r="I88" s="43">
        <f t="shared" si="10"/>
        <v>0</v>
      </c>
      <c r="J88" s="10">
        <f>E88*'Physician Types'!$E$4</f>
        <v>215.17014376588173</v>
      </c>
      <c r="K88" s="10">
        <f t="shared" si="8"/>
        <v>0</v>
      </c>
    </row>
    <row r="89" spans="1:11" x14ac:dyDescent="0.2">
      <c r="A89" s="158">
        <v>7</v>
      </c>
      <c r="B89" s="128" t="s">
        <v>74</v>
      </c>
      <c r="C89" s="5">
        <f>SUMIFS(Physician_Visit_October,Physician_Visit_Practice,October!B89,Physician_Visit_Hospitalists, "&lt;&gt;"&amp;'Physician Types'!$D$81)+SUMIFS(Physician_Visit_October,Physician_Visit_Practice,October!B89,Physician_Visit_Hospitalists,'Physician Types'!$D$81)*INDEX(Physician_Type_Hospitalists_Visit_Minutes,MATCH(October!B89,Physician_Type_Practice,0))/INDEX(Physician_Type_Visit_Minutes,MATCH(October!B89,Physician_Type_Practice,0)) +SUMIF(Physician_Minutes_Practice,October!B89,Physician_Minutes_October)/INDEX(Physician_Type_Visit_Minutes,MATCH(October!B89,Physician_Type_Practice,0))</f>
        <v>0</v>
      </c>
      <c r="D89" s="43">
        <f t="shared" si="9"/>
        <v>0</v>
      </c>
      <c r="E89" s="17">
        <f>INDEX(Physician_Type_Bed_Rate,MATCH(October!B89,Physician_Type_Practice,0))*'Hospital Input Page'!$C$4</f>
        <v>4073.1073926475756</v>
      </c>
      <c r="F89" s="9">
        <f t="shared" si="7"/>
        <v>0</v>
      </c>
      <c r="H89" s="5">
        <f t="array" ref="H89">SUMIFS(Physician_Visit_October, Physician_Visit_Practice, October!B89, Independent_Contractor_Visits,  'Physician Types'!$D$81) + SUMIFS(Physician_Minutes_October,Physician_Minutes_Practice,October!B89, Independent_Contractor_Minutes, 'Physician Types'!$D$81)/INDEX(Physician_Type_Visit_Minutes,MATCH(October!B89,Physician_Type_Practice,0))</f>
        <v>0</v>
      </c>
      <c r="I89" s="43">
        <f t="shared" si="10"/>
        <v>0</v>
      </c>
      <c r="J89" s="10">
        <f>E89*'Physician Types'!$E$4</f>
        <v>122.19322177942726</v>
      </c>
      <c r="K89" s="10">
        <f t="shared" si="8"/>
        <v>0</v>
      </c>
    </row>
    <row r="90" spans="1:11" x14ac:dyDescent="0.2">
      <c r="A90" s="158">
        <v>4</v>
      </c>
      <c r="B90" s="128" t="s">
        <v>146</v>
      </c>
      <c r="C90" s="5">
        <f>SUMIFS(Physician_Visit_October,Physician_Visit_Practice,October!B90,Physician_Visit_Hospitalists, "&lt;&gt;"&amp;'Physician Types'!$D$81)+SUMIFS(Physician_Visit_October,Physician_Visit_Practice,October!B90,Physician_Visit_Hospitalists,'Physician Types'!$D$81)*INDEX(Physician_Type_Hospitalists_Visit_Minutes,MATCH(October!B90,Physician_Type_Practice,0))/INDEX(Physician_Type_Visit_Minutes,MATCH(October!B90,Physician_Type_Practice,0)) +SUMIF(Physician_Minutes_Practice,October!B90,Physician_Minutes_October)/INDEX(Physician_Type_Visit_Minutes,MATCH(October!B90,Physician_Type_Practice,0))</f>
        <v>0</v>
      </c>
      <c r="D90" s="43">
        <f t="shared" si="9"/>
        <v>0</v>
      </c>
      <c r="E90" s="17">
        <f>INDEX(Physician_Type_Bed_Rate,MATCH(October!B90,Physician_Type_Practice,0))*'Hospital Input Page'!$C$4</f>
        <v>2997.7445879763663</v>
      </c>
      <c r="F90" s="9">
        <f t="shared" si="7"/>
        <v>0</v>
      </c>
      <c r="H90" s="5">
        <f t="array" ref="H90">SUMIFS(Physician_Visit_October, Physician_Visit_Practice, October!B90, Independent_Contractor_Visits,  'Physician Types'!$D$81) + SUMIFS(Physician_Minutes_October,Physician_Minutes_Practice,October!B90, Independent_Contractor_Minutes, 'Physician Types'!$D$81)/INDEX(Physician_Type_Visit_Minutes,MATCH(October!B90,Physician_Type_Practice,0))</f>
        <v>0</v>
      </c>
      <c r="I90" s="43">
        <f t="shared" si="10"/>
        <v>0</v>
      </c>
      <c r="J90" s="10">
        <f>E90*'Physician Types'!$E$4</f>
        <v>89.932337639290992</v>
      </c>
      <c r="K90" s="10">
        <f t="shared" si="8"/>
        <v>0</v>
      </c>
    </row>
    <row r="91" spans="1:11" x14ac:dyDescent="0.2">
      <c r="A91" s="158">
        <v>6</v>
      </c>
      <c r="B91" s="128" t="s">
        <v>71</v>
      </c>
      <c r="C91" s="5">
        <f>SUMIFS(Physician_Visit_October,Physician_Visit_Practice,October!B91,Physician_Visit_Hospitalists, "&lt;&gt;"&amp;'Physician Types'!$D$81)+SUMIFS(Physician_Visit_October,Physician_Visit_Practice,October!B91,Physician_Visit_Hospitalists,'Physician Types'!$D$81)*INDEX(Physician_Type_Hospitalists_Visit_Minutes,MATCH(October!B91,Physician_Type_Practice,0))/INDEX(Physician_Type_Visit_Minutes,MATCH(October!B91,Physician_Type_Practice,0)) +SUMIF(Physician_Minutes_Practice,October!B91,Physician_Minutes_October)/INDEX(Physician_Type_Visit_Minutes,MATCH(October!B91,Physician_Type_Practice,0))</f>
        <v>0</v>
      </c>
      <c r="D91" s="43">
        <f t="shared" si="9"/>
        <v>0</v>
      </c>
      <c r="E91" s="17">
        <f>INDEX(Physician_Type_Bed_Rate,MATCH(October!B91,Physician_Type_Practice,0))*'Hospital Input Page'!$C$4</f>
        <v>4912.3197447503335</v>
      </c>
      <c r="F91" s="9">
        <f t="shared" si="7"/>
        <v>0</v>
      </c>
      <c r="H91" s="5">
        <f t="array" ref="H91">SUMIFS(Physician_Visit_October, Physician_Visit_Practice, October!B91, Independent_Contractor_Visits,  'Physician Types'!$D$81) + SUMIFS(Physician_Minutes_October,Physician_Minutes_Practice,October!B91, Independent_Contractor_Minutes, 'Physician Types'!$D$81)/INDEX(Physician_Type_Visit_Minutes,MATCH(October!B91,Physician_Type_Practice,0))</f>
        <v>0</v>
      </c>
      <c r="I91" s="43">
        <f t="shared" si="10"/>
        <v>0</v>
      </c>
      <c r="J91" s="10">
        <f>E91*'Physician Types'!$E$4</f>
        <v>147.36959234251</v>
      </c>
      <c r="K91" s="10">
        <f t="shared" si="8"/>
        <v>0</v>
      </c>
    </row>
    <row r="92" spans="1:11" x14ac:dyDescent="0.2">
      <c r="A92" s="158">
        <v>4</v>
      </c>
      <c r="B92" s="128" t="s">
        <v>152</v>
      </c>
      <c r="C92" s="5">
        <f>SUMIFS(Physician_Visit_October,Physician_Visit_Practice,October!B92,Physician_Visit_Hospitalists, "&lt;&gt;"&amp;'Physician Types'!$D$81)+SUMIFS(Physician_Visit_October,Physician_Visit_Practice,October!B92,Physician_Visit_Hospitalists,'Physician Types'!$D$81)*INDEX(Physician_Type_Hospitalists_Visit_Minutes,MATCH(October!B92,Physician_Type_Practice,0))/INDEX(Physician_Type_Visit_Minutes,MATCH(October!B92,Physician_Type_Practice,0)) +SUMIF(Physician_Minutes_Practice,October!B92,Physician_Minutes_October)/INDEX(Physician_Type_Visit_Minutes,MATCH(October!B92,Physician_Type_Practice,0))</f>
        <v>0</v>
      </c>
      <c r="D92" s="43">
        <f t="shared" si="9"/>
        <v>0</v>
      </c>
      <c r="E92" s="17">
        <f>IFERROR(INDEX(Physician_Type_Bed_Rate,MATCH(October!B92,Physician_Type_Practice,0))*'Hospital Input Page'!$C$4,0)</f>
        <v>2664.0113037680594</v>
      </c>
      <c r="F92" s="9">
        <f t="shared" si="7"/>
        <v>0</v>
      </c>
      <c r="H92" s="5">
        <f t="array" ref="H92">SUMIFS(Physician_Visit_October, Physician_Visit_Practice, October!B92, Independent_Contractor_Visits,  'Physician Types'!$D$81) + SUMIFS(Physician_Minutes_October,Physician_Minutes_Practice,October!B92, Independent_Contractor_Minutes, 'Physician Types'!$D$81)/INDEX(Physician_Type_Visit_Minutes,MATCH(October!B92,Physician_Type_Practice,0))</f>
        <v>0</v>
      </c>
      <c r="I92" s="43">
        <f t="shared" si="10"/>
        <v>0</v>
      </c>
      <c r="J92" s="10">
        <f>E92*'Physician Types'!$E$4</f>
        <v>79.920339113041777</v>
      </c>
      <c r="K92" s="10">
        <f t="shared" si="8"/>
        <v>0</v>
      </c>
    </row>
    <row r="93" spans="1:11" x14ac:dyDescent="0.2">
      <c r="A93" s="158">
        <v>1</v>
      </c>
      <c r="B93" s="107" t="s">
        <v>30</v>
      </c>
      <c r="C93" s="5">
        <f>SUMIFS(Physician_Visit_October,Physician_Visit_Practice,October!B93,Physician_Visit_Hospitalists, "&lt;&gt;"&amp;'Physician Types'!$D$81)+SUMIFS(Physician_Visit_October,Physician_Visit_Practice,October!B93,Physician_Visit_Hospitalists,'Physician Types'!$D$81)*INDEX(Physician_Type_Hospitalists_Visit_Minutes,MATCH(October!B93,Physician_Type_Practice,0))/INDEX(Physician_Type_Visit_Minutes,MATCH(October!B93,Physician_Type_Practice,0)) +SUMIF(Physician_Minutes_Practice,October!B93,Physician_Minutes_October)/INDEX(Physician_Type_Visit_Minutes,MATCH(October!B93,Physician_Type_Practice,0))</f>
        <v>0</v>
      </c>
      <c r="D93" s="43">
        <f t="shared" si="9"/>
        <v>0</v>
      </c>
      <c r="E93" s="17">
        <f>INDEX(Physician_Type_Bed_Rate,MATCH(October!B93,Physician_Type_Practice,0))*'Hospital Input Page'!$C$4</f>
        <v>2544.9602491674359</v>
      </c>
      <c r="F93" s="9">
        <f t="shared" si="7"/>
        <v>0</v>
      </c>
      <c r="H93" s="5">
        <f t="array" ref="H93">SUMIFS(Physician_Visit_October, Physician_Visit_Practice, October!B93, Independent_Contractor_Visits,  'Physician Types'!$D$81) + SUMIFS(Physician_Minutes_October,Physician_Minutes_Practice,October!B93, Independent_Contractor_Minutes, 'Physician Types'!$D$81)/INDEX(Physician_Type_Visit_Minutes,MATCH(October!B93,Physician_Type_Practice,0))</f>
        <v>0</v>
      </c>
      <c r="I93" s="43">
        <f t="shared" si="10"/>
        <v>0</v>
      </c>
      <c r="J93" s="10">
        <f>E93*'Physician Types'!$E$4</f>
        <v>76.348807475023079</v>
      </c>
      <c r="K93" s="10">
        <f t="shared" si="8"/>
        <v>0</v>
      </c>
    </row>
    <row r="94" spans="1:11" x14ac:dyDescent="0.2">
      <c r="A94" s="158">
        <v>1</v>
      </c>
      <c r="B94" s="107" t="s">
        <v>31</v>
      </c>
      <c r="C94" s="5">
        <f>SUMIFS(Physician_Visit_October,Physician_Visit_Practice,October!B94,Physician_Visit_Hospitalists, "&lt;&gt;"&amp;'Physician Types'!$D$81)+SUMIFS(Physician_Visit_October,Physician_Visit_Practice,October!B94,Physician_Visit_Hospitalists,'Physician Types'!$D$81)*INDEX(Physician_Type_Hospitalists_Visit_Minutes,MATCH(October!B94,Physician_Type_Practice,0))/INDEX(Physician_Type_Visit_Minutes,MATCH(October!B94,Physician_Type_Practice,0)) +SUMIF(Physician_Minutes_Practice,October!B94,Physician_Minutes_October)/INDEX(Physician_Type_Visit_Minutes,MATCH(October!B94,Physician_Type_Practice,0))</f>
        <v>0</v>
      </c>
      <c r="D94" s="43">
        <f t="shared" si="9"/>
        <v>0</v>
      </c>
      <c r="E94" s="17">
        <f>INDEX(Physician_Type_Bed_Rate,MATCH(October!B94,Physician_Type_Practice,0))*'Hospital Input Page'!$C$4</f>
        <v>1258.818528154138</v>
      </c>
      <c r="F94" s="9">
        <f t="shared" si="7"/>
        <v>0</v>
      </c>
      <c r="H94" s="5">
        <f t="array" ref="H94">SUMIFS(Physician_Visit_October, Physician_Visit_Practice, October!B94, Independent_Contractor_Visits,  'Physician Types'!$D$81) + SUMIFS(Physician_Minutes_October,Physician_Minutes_Practice,October!B94, Independent_Contractor_Minutes, 'Physician Types'!$D$81)/INDEX(Physician_Type_Visit_Minutes,MATCH(October!B94,Physician_Type_Practice,0))</f>
        <v>0</v>
      </c>
      <c r="I94" s="43">
        <f t="shared" si="10"/>
        <v>0</v>
      </c>
      <c r="J94" s="10">
        <f>E94*'Physician Types'!$E$4</f>
        <v>37.764555844624141</v>
      </c>
      <c r="K94" s="10">
        <f t="shared" si="8"/>
        <v>0</v>
      </c>
    </row>
    <row r="95" spans="1:11" x14ac:dyDescent="0.2">
      <c r="A95" s="158">
        <v>2</v>
      </c>
      <c r="B95" s="107" t="s">
        <v>48</v>
      </c>
      <c r="C95" s="5">
        <f>SUMIFS(Physician_Visit_October,Physician_Visit_Practice,October!B95,Physician_Visit_Hospitalists, "&lt;&gt;"&amp;'Physician Types'!$D$81)+SUMIFS(Physician_Visit_October,Physician_Visit_Practice,October!B95,Physician_Visit_Hospitalists,'Physician Types'!$D$81)*INDEX(Physician_Type_Hospitalists_Visit_Minutes,MATCH(October!B95,Physician_Type_Practice,0))/INDEX(Physician_Type_Visit_Minutes,MATCH(October!B95,Physician_Type_Practice,0)) +SUMIF(Physician_Minutes_Practice,October!B95,Physician_Minutes_October)/INDEX(Physician_Type_Visit_Minutes,MATCH(October!B95,Physician_Type_Practice,0))</f>
        <v>0</v>
      </c>
      <c r="D95" s="43">
        <f t="shared" ref="D95" si="11">C95*INDEX(Physician_Type_Visit_Minutes,MATCH(B95,Physician_Type_Practice,0))/INDEX(Physician_Type_FTE_Minutes,MATCH(B95,Physician_Type_Practice,0))</f>
        <v>0</v>
      </c>
      <c r="E95" s="17">
        <f>INDEX(Physician_Type_Bed_Rate,MATCH(October!B95,Physician_Type_Practice,0))*'Hospital Input Page'!$C$4</f>
        <v>2336.1329894581445</v>
      </c>
      <c r="F95" s="9">
        <f t="shared" ref="F95" si="12">D95*E95</f>
        <v>0</v>
      </c>
      <c r="H95" s="5">
        <f t="array" ref="H95">SUMIFS(Physician_Visit_October, Physician_Visit_Practice, October!B95, Independent_Contractor_Visits,  'Physician Types'!$D$81) + SUMIFS(Physician_Minutes_October,Physician_Minutes_Practice,October!B95, Independent_Contractor_Minutes, 'Physician Types'!$D$81)/INDEX(Physician_Type_Visit_Minutes,MATCH(October!B95,Physician_Type_Practice,0))</f>
        <v>0</v>
      </c>
      <c r="I95" s="43">
        <f t="shared" ref="I95" si="13">H95*INDEX(Physician_Type_Visit_Minutes,MATCH(B95,Physician_Type_Practice,0))/INDEX(Physician_Type_FTE_Minutes,MATCH(B95,Physician_Type_Practice,0))</f>
        <v>0</v>
      </c>
      <c r="J95" s="10">
        <f>E95*'Physician Types'!$E$4</f>
        <v>70.083989683744335</v>
      </c>
      <c r="K95" s="10">
        <f t="shared" ref="K95" si="14">I95*J95</f>
        <v>0</v>
      </c>
    </row>
    <row r="96" spans="1:11" x14ac:dyDescent="0.2">
      <c r="A96" s="158">
        <v>2</v>
      </c>
      <c r="B96" s="107" t="s">
        <v>49</v>
      </c>
      <c r="C96" s="5">
        <f>SUMIFS(Physician_Visit_October,Physician_Visit_Practice,October!B96,Physician_Visit_Hospitalists, "&lt;&gt;"&amp;'Physician Types'!$D$81)+SUMIFS(Physician_Visit_October,Physician_Visit_Practice,October!B96,Physician_Visit_Hospitalists,'Physician Types'!$D$81)*INDEX(Physician_Type_Hospitalists_Visit_Minutes,MATCH(October!B96,Physician_Type_Practice,0))/INDEX(Physician_Type_Visit_Minutes,MATCH(October!B96,Physician_Type_Practice,0)) +SUMIF(Physician_Minutes_Practice,October!B96,Physician_Minutes_October)/INDEX(Physician_Type_Visit_Minutes,MATCH(October!B96,Physician_Type_Practice,0))</f>
        <v>0</v>
      </c>
      <c r="D96" s="43">
        <f t="shared" si="9"/>
        <v>0</v>
      </c>
      <c r="E96" s="17">
        <f>INDEX(Physician_Type_Bed_Rate,MATCH(October!B96,Physician_Type_Practice,0))*'Hospital Input Page'!$C$4</f>
        <v>1727.2161200254454</v>
      </c>
      <c r="F96" s="9">
        <f t="shared" si="7"/>
        <v>0</v>
      </c>
      <c r="H96" s="5">
        <f t="array" ref="H96">SUMIFS(Physician_Visit_October, Physician_Visit_Practice, October!B96, Independent_Contractor_Visits,  'Physician Types'!$D$81) + SUMIFS(Physician_Minutes_October,Physician_Minutes_Practice,October!B96, Independent_Contractor_Minutes, 'Physician Types'!$D$81)/INDEX(Physician_Type_Visit_Minutes,MATCH(October!B96,Physician_Type_Practice,0))</f>
        <v>0</v>
      </c>
      <c r="I96" s="43">
        <f t="shared" si="10"/>
        <v>0</v>
      </c>
      <c r="J96" s="10">
        <f>E96*'Physician Types'!$E$4</f>
        <v>51.816483600763362</v>
      </c>
      <c r="K96" s="10">
        <f t="shared" si="8"/>
        <v>0</v>
      </c>
    </row>
    <row r="97" spans="1:11" x14ac:dyDescent="0.2">
      <c r="A97" s="158">
        <v>1</v>
      </c>
      <c r="B97" s="107" t="s">
        <v>32</v>
      </c>
      <c r="C97" s="5">
        <f>SUMIFS(Physician_Visit_October,Physician_Visit_Practice,October!B97,Physician_Visit_Hospitalists, "&lt;&gt;"&amp;'Physician Types'!$D$81)+SUMIFS(Physician_Visit_October,Physician_Visit_Practice,October!B97,Physician_Visit_Hospitalists,'Physician Types'!$D$81)*INDEX(Physician_Type_Hospitalists_Visit_Minutes,MATCH(October!B97,Physician_Type_Practice,0))/INDEX(Physician_Type_Visit_Minutes,MATCH(October!B97,Physician_Type_Practice,0)) +SUMIF(Physician_Minutes_Practice,October!B97,Physician_Minutes_October)/INDEX(Physician_Type_Visit_Minutes,MATCH(October!B97,Physician_Type_Practice,0))</f>
        <v>0</v>
      </c>
      <c r="D97" s="43">
        <f t="shared" si="9"/>
        <v>0</v>
      </c>
      <c r="E97" s="17">
        <f>INDEX(Physician_Type_Bed_Rate,MATCH(October!B97,Physician_Type_Practice,0))*'Hospital Input Page'!$C$4</f>
        <v>1297.8516608100804</v>
      </c>
      <c r="F97" s="9">
        <f t="shared" si="7"/>
        <v>0</v>
      </c>
      <c r="H97" s="5">
        <f t="array" ref="H97">SUMIFS(Physician_Visit_October, Physician_Visit_Practice, October!B97, Independent_Contractor_Visits,  'Physician Types'!$D$81) + SUMIFS(Physician_Minutes_October,Physician_Minutes_Practice,October!B97, Independent_Contractor_Minutes, 'Physician Types'!$D$81)/INDEX(Physician_Type_Visit_Minutes,MATCH(October!B97,Physician_Type_Practice,0))</f>
        <v>0</v>
      </c>
      <c r="I97" s="43">
        <f t="shared" si="10"/>
        <v>0</v>
      </c>
      <c r="J97" s="10">
        <f>E97*'Physician Types'!$E$4</f>
        <v>38.935549824302413</v>
      </c>
      <c r="K97" s="10">
        <f t="shared" si="8"/>
        <v>0</v>
      </c>
    </row>
    <row r="98" spans="1:11" x14ac:dyDescent="0.2">
      <c r="A98" s="158"/>
      <c r="B98" s="102" t="s">
        <v>20</v>
      </c>
      <c r="C98" s="5">
        <f>SUMIFS(Physician_Visit_October,Physician_Visit_Practice,October!B98,Physician_Visit_Hospitalists, "&lt;&gt;"&amp;'Physician Types'!$D$81)+SUMIFS(Physician_Visit_October,Physician_Visit_Practice,October!B98,Physician_Visit_Hospitalists,'Physician Types'!$D$81)*INDEX(Physician_Type_Hospitalists_Visit_Minutes,MATCH(October!B98,Physician_Type_Practice,0))/INDEX(Physician_Type_Visit_Minutes,MATCH(October!B98,Physician_Type_Practice,0)) +SUMIF(Physician_Minutes_Practice,October!B98,Physician_Minutes_October)/INDEX(Physician_Type_Visit_Minutes,MATCH(October!B98,Physician_Type_Practice,0))</f>
        <v>503</v>
      </c>
      <c r="D98" s="43">
        <f t="shared" si="9"/>
        <v>0.96732629473643716</v>
      </c>
      <c r="E98" s="17">
        <f>INDEX(Physician_Type_Bed_Rate,MATCH(October!B98,Physician_Type_Practice,0))*'Hospital Input Page'!$C$4</f>
        <v>493.76912809766964</v>
      </c>
      <c r="F98" s="9">
        <f t="shared" si="7"/>
        <v>477.63586113795998</v>
      </c>
      <c r="H98" s="5">
        <f t="array" ref="H98">SUMIFS(Physician_Visit_October, Physician_Visit_Practice, October!B98, Independent_Contractor_Visits,  'Physician Types'!$D$81) + SUMIFS(Physician_Minutes_October,Physician_Minutes_Practice,October!B98, Independent_Contractor_Minutes, 'Physician Types'!$D$81)/INDEX(Physician_Type_Visit_Minutes,MATCH(October!B98,Physician_Type_Practice,0))</f>
        <v>0</v>
      </c>
      <c r="I98" s="43">
        <f t="shared" si="10"/>
        <v>0</v>
      </c>
      <c r="J98" s="10">
        <f>E98*'Physician Types'!$E$4</f>
        <v>14.813073842930088</v>
      </c>
      <c r="K98" s="10">
        <f t="shared" si="8"/>
        <v>0</v>
      </c>
    </row>
    <row r="99" spans="1:11" x14ac:dyDescent="0.2">
      <c r="A99" s="158">
        <v>1</v>
      </c>
      <c r="B99" s="107" t="s">
        <v>33</v>
      </c>
      <c r="C99" s="5">
        <f>SUMIFS(Physician_Visit_October,Physician_Visit_Practice,October!B99,Physician_Visit_Hospitalists, "&lt;&gt;"&amp;'Physician Types'!$D$81)+SUMIFS(Physician_Visit_October,Physician_Visit_Practice,October!B99,Physician_Visit_Hospitalists,'Physician Types'!$D$81)*INDEX(Physician_Type_Hospitalists_Visit_Minutes,MATCH(October!B99,Physician_Type_Practice,0))/INDEX(Physician_Type_Visit_Minutes,MATCH(October!B99,Physician_Type_Practice,0)) +SUMIF(Physician_Minutes_Practice,October!B99,Physician_Minutes_October)/INDEX(Physician_Type_Visit_Minutes,MATCH(October!B99,Physician_Type_Practice,0))</f>
        <v>0</v>
      </c>
      <c r="D99" s="43">
        <f t="shared" si="9"/>
        <v>0</v>
      </c>
      <c r="E99" s="17">
        <f>INDEX(Physician_Type_Bed_Rate,MATCH(October!B99,Physician_Type_Practice,0))*'Hospital Input Page'!$C$4</f>
        <v>1268.5768113181236</v>
      </c>
      <c r="F99" s="9">
        <f t="shared" si="7"/>
        <v>0</v>
      </c>
      <c r="H99" s="5">
        <f t="array" ref="H99">SUMIFS(Physician_Visit_October, Physician_Visit_Practice, October!B99, Independent_Contractor_Visits,  'Physician Types'!$D$81) + SUMIFS(Physician_Minutes_October,Physician_Minutes_Practice,October!B99, Independent_Contractor_Minutes, 'Physician Types'!$D$81)/INDEX(Physician_Type_Visit_Minutes,MATCH(October!B99,Physician_Type_Practice,0))</f>
        <v>0</v>
      </c>
      <c r="I99" s="43">
        <f t="shared" si="10"/>
        <v>0</v>
      </c>
      <c r="J99" s="10">
        <f>E99*'Physician Types'!$E$4</f>
        <v>38.057304339543705</v>
      </c>
      <c r="K99" s="10">
        <f t="shared" si="8"/>
        <v>0</v>
      </c>
    </row>
    <row r="100" spans="1:11" x14ac:dyDescent="0.2">
      <c r="A100" s="158">
        <v>2</v>
      </c>
      <c r="B100" s="107" t="s">
        <v>50</v>
      </c>
      <c r="C100" s="5">
        <f>SUMIFS(Physician_Visit_October,Physician_Visit_Practice,October!B100,Physician_Visit_Hospitalists, "&lt;&gt;"&amp;'Physician Types'!$D$81)+SUMIFS(Physician_Visit_October,Physician_Visit_Practice,October!B100,Physician_Visit_Hospitalists,'Physician Types'!$D$81)*INDEX(Physician_Type_Hospitalists_Visit_Minutes,MATCH(October!B100,Physician_Type_Practice,0))/INDEX(Physician_Type_Visit_Minutes,MATCH(October!B100,Physician_Type_Practice,0)) +SUMIF(Physician_Minutes_Practice,October!B100,Physician_Minutes_October)/INDEX(Physician_Type_Visit_Minutes,MATCH(October!B100,Physician_Type_Practice,0))</f>
        <v>0</v>
      </c>
      <c r="D100" s="43">
        <f t="shared" si="9"/>
        <v>0</v>
      </c>
      <c r="E100" s="17">
        <f>INDEX(Physician_Type_Bed_Rate,MATCH(October!B100,Physician_Type_Practice,0))*'Hospital Input Page'!$C$4</f>
        <v>2529.3469961050587</v>
      </c>
      <c r="F100" s="9">
        <f t="shared" si="7"/>
        <v>0</v>
      </c>
      <c r="H100" s="5">
        <f t="array" ref="H100">SUMIFS(Physician_Visit_October, Physician_Visit_Practice, October!B100, Independent_Contractor_Visits,  'Physician Types'!$D$81) + SUMIFS(Physician_Minutes_October,Physician_Minutes_Practice,October!B100, Independent_Contractor_Minutes, 'Physician Types'!$D$81)/INDEX(Physician_Type_Visit_Minutes,MATCH(October!B100,Physician_Type_Practice,0))</f>
        <v>0</v>
      </c>
      <c r="I100" s="43">
        <f t="shared" si="10"/>
        <v>0</v>
      </c>
      <c r="J100" s="10">
        <f>E100*'Physician Types'!$E$4</f>
        <v>75.880409883151756</v>
      </c>
      <c r="K100" s="10">
        <f t="shared" si="8"/>
        <v>0</v>
      </c>
    </row>
    <row r="101" spans="1:11" x14ac:dyDescent="0.2">
      <c r="A101" s="158">
        <v>2</v>
      </c>
      <c r="B101" s="107" t="s">
        <v>51</v>
      </c>
      <c r="C101" s="5">
        <f>SUMIFS(Physician_Visit_October,Physician_Visit_Practice,October!B101,Physician_Visit_Hospitalists, "&lt;&gt;"&amp;'Physician Types'!$D$81)+SUMIFS(Physician_Visit_October,Physician_Visit_Practice,October!B101,Physician_Visit_Hospitalists,'Physician Types'!$D$81)*INDEX(Physician_Type_Hospitalists_Visit_Minutes,MATCH(October!B101,Physician_Type_Practice,0))/INDEX(Physician_Type_Visit_Minutes,MATCH(October!B101,Physician_Type_Practice,0)) +SUMIF(Physician_Minutes_Practice,October!B101,Physician_Minutes_October)/INDEX(Physician_Type_Visit_Minutes,MATCH(October!B101,Physician_Type_Practice,0))</f>
        <v>0</v>
      </c>
      <c r="D101" s="43">
        <f t="shared" si="9"/>
        <v>0</v>
      </c>
      <c r="E101" s="17">
        <f>INDEX(Physician_Type_Bed_Rate,MATCH(October!B101,Physician_Type_Practice,0))*'Hospital Input Page'!$C$4</f>
        <v>1887.2519639148086</v>
      </c>
      <c r="F101" s="9">
        <f t="shared" si="7"/>
        <v>0</v>
      </c>
      <c r="H101" s="5">
        <f t="array" ref="H101">SUMIFS(Physician_Visit_October, Physician_Visit_Practice, October!B101, Independent_Contractor_Visits,  'Physician Types'!$D$81) + SUMIFS(Physician_Minutes_October,Physician_Minutes_Practice,October!B101, Independent_Contractor_Minutes, 'Physician Types'!$D$81)/INDEX(Physician_Type_Visit_Minutes,MATCH(October!B101,Physician_Type_Practice,0))</f>
        <v>0</v>
      </c>
      <c r="I101" s="43">
        <f t="shared" si="10"/>
        <v>0</v>
      </c>
      <c r="J101" s="10">
        <f>E101*'Physician Types'!$E$4</f>
        <v>56.617558917444256</v>
      </c>
      <c r="K101" s="10">
        <f t="shared" si="8"/>
        <v>0</v>
      </c>
    </row>
    <row r="102" spans="1:11" x14ac:dyDescent="0.2">
      <c r="A102" s="158">
        <v>2</v>
      </c>
      <c r="B102" s="107" t="s">
        <v>52</v>
      </c>
      <c r="C102" s="5">
        <f>SUMIFS(Physician_Visit_October,Physician_Visit_Practice,October!B102,Physician_Visit_Hospitalists, "&lt;&gt;"&amp;'Physician Types'!$D$81)+SUMIFS(Physician_Visit_October,Physician_Visit_Practice,October!B102,Physician_Visit_Hospitalists,'Physician Types'!$D$81)*INDEX(Physician_Type_Hospitalists_Visit_Minutes,MATCH(October!B102,Physician_Type_Practice,0))/INDEX(Physician_Type_Visit_Minutes,MATCH(October!B102,Physician_Type_Practice,0)) +SUMIF(Physician_Minutes_Practice,October!B102,Physician_Minutes_October)/INDEX(Physician_Type_Visit_Minutes,MATCH(October!B102,Physician_Type_Practice,0))</f>
        <v>0</v>
      </c>
      <c r="D102" s="43">
        <f t="shared" si="9"/>
        <v>0</v>
      </c>
      <c r="E102" s="17">
        <f>INDEX(Physician_Type_Bed_Rate,MATCH(October!B102,Physician_Type_Practice,0))*'Hospital Input Page'!$C$4</f>
        <v>2088.2725970929114</v>
      </c>
      <c r="F102" s="9">
        <f t="shared" si="7"/>
        <v>0</v>
      </c>
      <c r="H102" s="5">
        <f t="array" ref="H102">SUMIFS(Physician_Visit_October, Physician_Visit_Practice, October!B102, Independent_Contractor_Visits,  'Physician Types'!$D$81) + SUMIFS(Physician_Minutes_October,Physician_Minutes_Practice,October!B102, Independent_Contractor_Minutes, 'Physician Types'!$D$81)/INDEX(Physician_Type_Visit_Minutes,MATCH(October!B102,Physician_Type_Practice,0))</f>
        <v>0</v>
      </c>
      <c r="I102" s="43">
        <f t="shared" si="10"/>
        <v>0</v>
      </c>
      <c r="J102" s="10">
        <f>E102*'Physician Types'!$E$4</f>
        <v>62.648177912787339</v>
      </c>
      <c r="K102" s="10">
        <f t="shared" si="8"/>
        <v>0</v>
      </c>
    </row>
    <row r="103" spans="1:11" x14ac:dyDescent="0.2">
      <c r="A103" s="158">
        <v>4</v>
      </c>
      <c r="B103" s="107" t="s">
        <v>52</v>
      </c>
      <c r="C103" s="5">
        <f>SUMIFS(Physician_Visit_October,Physician_Visit_Practice,October!B103,Physician_Visit_Hospitalists, "&lt;&gt;"&amp;'Physician Types'!$D$81)+SUMIFS(Physician_Visit_October,Physician_Visit_Practice,October!B103,Physician_Visit_Hospitalists,'Physician Types'!$D$81)*INDEX(Physician_Type_Hospitalists_Visit_Minutes,MATCH(October!B103,Physician_Type_Practice,0))/INDEX(Physician_Type_Visit_Minutes,MATCH(October!B103,Physician_Type_Practice,0)) +SUMIF(Physician_Minutes_Practice,October!B103,Physician_Minutes_October)/INDEX(Physician_Type_Visit_Minutes,MATCH(October!B103,Physician_Type_Practice,0))</f>
        <v>0</v>
      </c>
      <c r="D103" s="43">
        <f t="shared" si="9"/>
        <v>0</v>
      </c>
      <c r="E103" s="17">
        <f>INDEX(Physician_Type_Bed_Rate,MATCH(October!B103,Physician_Type_Practice,0))*'Hospital Input Page'!$C$4</f>
        <v>2088.2725970929114</v>
      </c>
      <c r="F103" s="9">
        <f t="shared" si="7"/>
        <v>0</v>
      </c>
      <c r="H103" s="5">
        <f t="array" ref="H103">SUMIFS(Physician_Visit_October, Physician_Visit_Practice, October!B103, Independent_Contractor_Visits,  'Physician Types'!$D$81) + SUMIFS(Physician_Minutes_October,Physician_Minutes_Practice,October!B103, Independent_Contractor_Minutes, 'Physician Types'!$D$81)/INDEX(Physician_Type_Visit_Minutes,MATCH(October!B103,Physician_Type_Practice,0))</f>
        <v>0</v>
      </c>
      <c r="I103" s="43">
        <f t="shared" si="10"/>
        <v>0</v>
      </c>
      <c r="J103" s="10">
        <f>E103*'Physician Types'!$E$4</f>
        <v>62.648177912787339</v>
      </c>
      <c r="K103" s="10">
        <f t="shared" si="8"/>
        <v>0</v>
      </c>
    </row>
    <row r="104" spans="1:11" x14ac:dyDescent="0.2">
      <c r="A104" s="158">
        <v>5</v>
      </c>
      <c r="B104" s="102" t="s">
        <v>68</v>
      </c>
      <c r="C104" s="5">
        <f>SUMIFS(Physician_Visit_October,Physician_Visit_Practice,October!B104,Physician_Visit_Hospitalists, "&lt;&gt;"&amp;'Physician Types'!$D$81)+SUMIFS(Physician_Visit_October,Physician_Visit_Practice,October!B104,Physician_Visit_Hospitalists,'Physician Types'!$D$81)*INDEX(Physician_Type_Hospitalists_Visit_Minutes,MATCH(October!B104,Physician_Type_Practice,0))/INDEX(Physician_Type_Visit_Minutes,MATCH(October!B104,Physician_Type_Practice,0)) +SUMIF(Physician_Minutes_Practice,October!B104,Physician_Minutes_October)/INDEX(Physician_Type_Visit_Minutes,MATCH(October!B104,Physician_Type_Practice,0))</f>
        <v>0</v>
      </c>
      <c r="D104" s="43">
        <f t="shared" si="9"/>
        <v>0</v>
      </c>
      <c r="E104" s="17">
        <f>INDEX(Physician_Type_Bed_Rate,MATCH(October!B104,Physician_Type_Practice,0))*'Hospital Input Page'!$C$4</f>
        <v>2708.8994063223927</v>
      </c>
      <c r="F104" s="9">
        <f t="shared" si="7"/>
        <v>0</v>
      </c>
      <c r="H104" s="5">
        <f t="array" ref="H104">SUMIFS(Physician_Visit_October, Physician_Visit_Practice, October!B104, Independent_Contractor_Visits,  'Physician Types'!$D$81) + SUMIFS(Physician_Minutes_October,Physician_Minutes_Practice,October!B104, Independent_Contractor_Minutes, 'Physician Types'!$D$81)/INDEX(Physician_Type_Visit_Minutes,MATCH(October!B104,Physician_Type_Practice,0))</f>
        <v>0</v>
      </c>
      <c r="I104" s="43">
        <f t="shared" si="10"/>
        <v>0</v>
      </c>
      <c r="J104" s="10">
        <f>E104*'Physician Types'!$E$4</f>
        <v>81.266982189671779</v>
      </c>
      <c r="K104" s="10">
        <f t="shared" si="8"/>
        <v>0</v>
      </c>
    </row>
    <row r="105" spans="1:11" x14ac:dyDescent="0.2">
      <c r="A105" s="158">
        <v>2</v>
      </c>
      <c r="B105" s="107" t="s">
        <v>53</v>
      </c>
      <c r="C105" s="5">
        <f>SUMIFS(Physician_Visit_October,Physician_Visit_Practice,October!B105,Physician_Visit_Hospitalists, "&lt;&gt;"&amp;'Physician Types'!$D$81)+SUMIFS(Physician_Visit_October,Physician_Visit_Practice,October!B105,Physician_Visit_Hospitalists,'Physician Types'!$D$81)*INDEX(Physician_Type_Hospitalists_Visit_Minutes,MATCH(October!B105,Physician_Type_Practice,0))/INDEX(Physician_Type_Visit_Minutes,MATCH(October!B105,Physician_Type_Practice,0)) +SUMIF(Physician_Minutes_Practice,October!B105,Physician_Minutes_October)/INDEX(Physician_Type_Visit_Minutes,MATCH(October!B105,Physician_Type_Practice,0))</f>
        <v>0</v>
      </c>
      <c r="D105" s="43">
        <f t="shared" si="9"/>
        <v>0</v>
      </c>
      <c r="E105" s="17">
        <f>INDEX(Physician_Type_Bed_Rate,MATCH(October!B105,Physician_Type_Practice,0))*'Hospital Input Page'!$C$4</f>
        <v>1619.8750052216039</v>
      </c>
      <c r="F105" s="9">
        <f t="shared" si="7"/>
        <v>0</v>
      </c>
      <c r="H105" s="5">
        <f t="array" ref="H105">SUMIFS(Physician_Visit_October, Physician_Visit_Practice, October!B105, Independent_Contractor_Visits,  'Physician Types'!$D$81) + SUMIFS(Physician_Minutes_October,Physician_Minutes_Practice,October!B105, Independent_Contractor_Minutes, 'Physician Types'!$D$81)/INDEX(Physician_Type_Visit_Minutes,MATCH(October!B105,Physician_Type_Practice,0))</f>
        <v>0</v>
      </c>
      <c r="I105" s="43">
        <f t="shared" si="10"/>
        <v>0</v>
      </c>
      <c r="J105" s="10">
        <f>E105*'Physician Types'!$E$4</f>
        <v>48.596250156648118</v>
      </c>
      <c r="K105" s="10">
        <f t="shared" si="8"/>
        <v>0</v>
      </c>
    </row>
    <row r="106" spans="1:11" x14ac:dyDescent="0.2">
      <c r="A106" s="158">
        <v>3</v>
      </c>
      <c r="B106" s="102" t="s">
        <v>59</v>
      </c>
      <c r="C106" s="5">
        <f>SUMIFS(Physician_Visit_October,Physician_Visit_Practice,October!B106,Physician_Visit_Hospitalists, "&lt;&gt;"&amp;'Physician Types'!$D$81)+SUMIFS(Physician_Visit_October,Physician_Visit_Practice,October!B106,Physician_Visit_Hospitalists,'Physician Types'!$D$81)*INDEX(Physician_Type_Hospitalists_Visit_Minutes,MATCH(October!B106,Physician_Type_Practice,0))/INDEX(Physician_Type_Visit_Minutes,MATCH(October!B106,Physician_Type_Practice,0)) +SUMIF(Physician_Minutes_Practice,October!B106,Physician_Minutes_October)/INDEX(Physician_Type_Visit_Minutes,MATCH(October!B106,Physician_Type_Practice,0))</f>
        <v>0</v>
      </c>
      <c r="D106" s="43">
        <f t="shared" si="9"/>
        <v>0</v>
      </c>
      <c r="E106" s="17">
        <f>INDEX(Physician_Type_Bed_Rate,MATCH(October!B106,Physician_Type_Practice,0))*'Hospital Input Page'!$C$4</f>
        <v>380.57304339543714</v>
      </c>
      <c r="F106" s="9">
        <f t="shared" si="7"/>
        <v>0</v>
      </c>
      <c r="H106" s="5">
        <f t="array" ref="H106">SUMIFS(Physician_Visit_October, Physician_Visit_Practice, October!B106, Independent_Contractor_Visits,  'Physician Types'!$D$81) + SUMIFS(Physician_Minutes_October,Physician_Minutes_Practice,October!B106, Independent_Contractor_Minutes, 'Physician Types'!$D$81)/INDEX(Physician_Type_Visit_Minutes,MATCH(October!B106,Physician_Type_Practice,0))</f>
        <v>0</v>
      </c>
      <c r="I106" s="43">
        <f t="shared" si="10"/>
        <v>0</v>
      </c>
      <c r="J106" s="10">
        <f>E106*'Physician Types'!$E$4</f>
        <v>11.417191301863113</v>
      </c>
      <c r="K106" s="10">
        <f t="shared" si="8"/>
        <v>0</v>
      </c>
    </row>
    <row r="107" spans="1:11" x14ac:dyDescent="0.2">
      <c r="A107" s="158">
        <v>7</v>
      </c>
      <c r="B107" s="102" t="s">
        <v>75</v>
      </c>
      <c r="C107" s="5">
        <f>SUMIFS(Physician_Visit_October,Physician_Visit_Practice,October!B107,Physician_Visit_Hospitalists, "&lt;&gt;"&amp;'Physician Types'!$D$81)+SUMIFS(Physician_Visit_October,Physician_Visit_Practice,October!B107,Physician_Visit_Hospitalists,'Physician Types'!$D$81)*INDEX(Physician_Type_Hospitalists_Visit_Minutes,MATCH(October!B107,Physician_Type_Practice,0))/INDEX(Physician_Type_Visit_Minutes,MATCH(October!B107,Physician_Type_Practice,0)) +SUMIF(Physician_Minutes_Practice,October!B107,Physician_Minutes_October)/INDEX(Physician_Type_Visit_Minutes,MATCH(October!B107,Physician_Type_Practice,0))</f>
        <v>0</v>
      </c>
      <c r="D107" s="43">
        <f t="shared" si="9"/>
        <v>0</v>
      </c>
      <c r="E107" s="17">
        <f>INDEX(Physician_Type_Bed_Rate,MATCH(October!B107,Physician_Type_Practice,0))*'Hospital Input Page'!$C$4</f>
        <v>7974.4690016090053</v>
      </c>
      <c r="F107" s="9">
        <f t="shared" si="7"/>
        <v>0</v>
      </c>
      <c r="H107" s="5">
        <f t="array" ref="H107">SUMIFS(Physician_Visit_October, Physician_Visit_Practice, October!B107, Independent_Contractor_Visits,  'Physician Types'!$D$81) + SUMIFS(Physician_Minutes_October,Physician_Minutes_Practice,October!B107, Independent_Contractor_Minutes, 'Physician Types'!$D$81)/INDEX(Physician_Type_Visit_Minutes,MATCH(October!B107,Physician_Type_Practice,0))</f>
        <v>0</v>
      </c>
      <c r="I107" s="43">
        <f t="shared" si="10"/>
        <v>0</v>
      </c>
      <c r="J107" s="10">
        <f>E107*'Physician Types'!$E$4</f>
        <v>239.23407004827015</v>
      </c>
      <c r="K107" s="10">
        <f t="shared" si="8"/>
        <v>0</v>
      </c>
    </row>
    <row r="108" spans="1:11" x14ac:dyDescent="0.2">
      <c r="A108" s="158">
        <v>4</v>
      </c>
      <c r="B108" s="128" t="s">
        <v>140</v>
      </c>
      <c r="C108" s="5">
        <f>SUMIFS(Physician_Visit_October,Physician_Visit_Practice,October!B108,Physician_Visit_Hospitalists, "&lt;&gt;"&amp;'Physician Types'!$D$81)+SUMIFS(Physician_Visit_October,Physician_Visit_Practice,October!B108,Physician_Visit_Hospitalists,'Physician Types'!$D$81)*INDEX(Physician_Type_Hospitalists_Visit_Minutes,MATCH(October!B108,Physician_Type_Practice,0))/INDEX(Physician_Type_Visit_Minutes,MATCH(October!B108,Physician_Type_Practice,0)) +SUMIF(Physician_Minutes_Practice,October!B108,Physician_Minutes_October)/INDEX(Physician_Type_Visit_Minutes,MATCH(October!B108,Physician_Type_Practice,0))</f>
        <v>0</v>
      </c>
      <c r="D108" s="43">
        <f t="shared" si="9"/>
        <v>0</v>
      </c>
      <c r="E108" s="17">
        <f>INDEX(Physician_Type_Bed_Rate,MATCH(October!B108,Physician_Type_Practice,0))*'Hospital Input Page'!$C$4</f>
        <v>3159.7320884985265</v>
      </c>
      <c r="F108" s="9">
        <f t="shared" si="7"/>
        <v>0</v>
      </c>
      <c r="H108" s="5">
        <f t="array" ref="H108">SUMIFS(Physician_Visit_October, Physician_Visit_Practice, October!B108, Independent_Contractor_Visits,  'Physician Types'!$D$81) + SUMIFS(Physician_Minutes_October,Physician_Minutes_Practice,October!B108, Independent_Contractor_Minutes, 'Physician Types'!$D$81)/INDEX(Physician_Type_Visit_Minutes,MATCH(October!B108,Physician_Type_Practice,0))</f>
        <v>0</v>
      </c>
      <c r="I108" s="43">
        <f t="shared" si="10"/>
        <v>0</v>
      </c>
      <c r="J108" s="10">
        <f>E108*'Physician Types'!$E$4</f>
        <v>94.791962654955796</v>
      </c>
      <c r="K108" s="10">
        <f t="shared" si="8"/>
        <v>0</v>
      </c>
    </row>
    <row r="109" spans="1:11" x14ac:dyDescent="0.2">
      <c r="A109" s="158">
        <v>7</v>
      </c>
      <c r="B109" s="102" t="s">
        <v>76</v>
      </c>
      <c r="C109" s="5">
        <f>SUMIFS(Physician_Visit_October,Physician_Visit_Practice,October!B109,Physician_Visit_Hospitalists, "&lt;&gt;"&amp;'Physician Types'!$D$81)+SUMIFS(Physician_Visit_October,Physician_Visit_Practice,October!B109,Physician_Visit_Hospitalists,'Physician Types'!$D$81)*INDEX(Physician_Type_Hospitalists_Visit_Minutes,MATCH(October!B109,Physician_Type_Practice,0))/INDEX(Physician_Type_Visit_Minutes,MATCH(October!B109,Physician_Type_Practice,0)) +SUMIF(Physician_Minutes_Practice,October!B109,Physician_Minutes_October)/INDEX(Physician_Type_Visit_Minutes,MATCH(October!B109,Physician_Type_Practice,0))</f>
        <v>0</v>
      </c>
      <c r="D109" s="43">
        <f t="shared" si="9"/>
        <v>0</v>
      </c>
      <c r="E109" s="17">
        <f>INDEX(Physician_Type_Bed_Rate,MATCH(October!B109,Physician_Type_Practice,0))*'Hospital Input Page'!$C$4</f>
        <v>7709.0436995485979</v>
      </c>
      <c r="F109" s="9">
        <f t="shared" si="7"/>
        <v>0</v>
      </c>
      <c r="H109" s="5">
        <f t="array" ref="H109">SUMIFS(Physician_Visit_October, Physician_Visit_Practice, October!B109, Independent_Contractor_Visits,  'Physician Types'!$D$81) + SUMIFS(Physician_Minutes_October,Physician_Minutes_Practice,October!B109, Independent_Contractor_Minutes, 'Physician Types'!$D$81)/INDEX(Physician_Type_Visit_Minutes,MATCH(October!B109,Physician_Type_Practice,0))</f>
        <v>0</v>
      </c>
      <c r="I109" s="43">
        <f t="shared" si="10"/>
        <v>0</v>
      </c>
      <c r="J109" s="10">
        <f>E109*'Physician Types'!$E$4</f>
        <v>231.27131098645793</v>
      </c>
      <c r="K109" s="10">
        <f t="shared" si="8"/>
        <v>0</v>
      </c>
    </row>
    <row r="110" spans="1:11" x14ac:dyDescent="0.2">
      <c r="A110" s="102"/>
      <c r="B110" s="164" t="s">
        <v>156</v>
      </c>
      <c r="C110" s="5" t="e">
        <f>SUMIFS(Physician_Visit_October,Physician_Visit_Practice,October!B110,Physician_Visit_Hospitalists, "&lt;&gt;"&amp;'Physician Types'!$D$81)+SUMIFS(Physician_Visit_October,Physician_Visit_Practice,October!B110,Physician_Visit_Hospitalists,'Physician Types'!$D$81)*INDEX(Physician_Type_Hospitalists_Visit_Minutes,MATCH(October!B110,Physician_Type_Practice,0))/INDEX(Physician_Type_Visit_Minutes,MATCH(October!B110,Physician_Type_Practice,0)) +SUMIF(Physician_Minutes_Practice,October!B110,Physician_Minutes_October)/INDEX(Physician_Type_Visit_Minutes,MATCH(October!B110,Physician_Type_Practice,0))</f>
        <v>#REF!</v>
      </c>
      <c r="D110" s="43" t="e">
        <f t="shared" si="9"/>
        <v>#REF!</v>
      </c>
      <c r="E110" s="17" t="e">
        <f>INDEX(Physician_Type_Bed_Rate,MATCH(October!B110,Physician_Type_Practice,0))*'Hospital Input Page'!$C$4</f>
        <v>#REF!</v>
      </c>
      <c r="F110" s="9" t="e">
        <f t="shared" si="7"/>
        <v>#REF!</v>
      </c>
      <c r="H110" s="5" t="e">
        <f t="array" ref="H110">SUMIFS(Physician_Visit_October, Physician_Visit_Practice, October!B110, Independent_Contractor_Visits,  'Physician Types'!$D$81) + SUMIFS(Physician_Minutes_October,Physician_Minutes_Practice,October!B110, Independent_Contractor_Minutes, 'Physician Types'!$D$81)/INDEX(Physician_Type_Visit_Minutes,MATCH(October!B110,Physician_Type_Practice,0))</f>
        <v>#REF!</v>
      </c>
      <c r="I110" s="43" t="e">
        <f t="shared" si="10"/>
        <v>#REF!</v>
      </c>
      <c r="J110" s="10" t="e">
        <f>E110*'Physician Types'!$E$4</f>
        <v>#REF!</v>
      </c>
      <c r="K110" s="10" t="e">
        <f t="shared" si="8"/>
        <v>#REF!</v>
      </c>
    </row>
    <row r="111" spans="1:11" x14ac:dyDescent="0.2">
      <c r="A111" s="102"/>
      <c r="B111" s="164" t="s">
        <v>156</v>
      </c>
      <c r="C111" s="5" t="e">
        <f>SUMIFS(Physician_Visit_October,Physician_Visit_Practice,October!B111,Physician_Visit_Hospitalists, "&lt;&gt;"&amp;'Physician Types'!$D$81)+SUMIFS(Physician_Visit_October,Physician_Visit_Practice,October!B111,Physician_Visit_Hospitalists,'Physician Types'!$D$81)*INDEX(Physician_Type_Hospitalists_Visit_Minutes,MATCH(October!B111,Physician_Type_Practice,0))/INDEX(Physician_Type_Visit_Minutes,MATCH(October!B111,Physician_Type_Practice,0)) +SUMIF(Physician_Minutes_Practice,October!B111,Physician_Minutes_October)/INDEX(Physician_Type_Visit_Minutes,MATCH(October!B111,Physician_Type_Practice,0))</f>
        <v>#REF!</v>
      </c>
      <c r="D111" s="43" t="e">
        <f t="shared" ref="D111:D112" si="15">C111*INDEX(Physician_Type_Visit_Minutes,MATCH(B111,Physician_Type_Practice,0))/INDEX(Physician_Type_FTE_Minutes,MATCH(B111,Physician_Type_Practice,0))</f>
        <v>#REF!</v>
      </c>
      <c r="E111" s="17" t="e">
        <f>INDEX(Physician_Type_Bed_Rate,MATCH(October!B111,Physician_Type_Practice,0))*'Hospital Input Page'!$C$4</f>
        <v>#REF!</v>
      </c>
      <c r="F111" s="9" t="e">
        <f t="shared" si="7"/>
        <v>#REF!</v>
      </c>
      <c r="H111" s="5" t="e">
        <f t="array" ref="H111">SUMIFS(Physician_Visit_October, Physician_Visit_Practice, October!B111, Independent_Contractor_Visits,  'Physician Types'!$D$81) + SUMIFS(Physician_Minutes_October,Physician_Minutes_Practice,October!B111, Independent_Contractor_Minutes, 'Physician Types'!$D$81)/INDEX(Physician_Type_Visit_Minutes,MATCH(October!B111,Physician_Type_Practice,0))</f>
        <v>#REF!</v>
      </c>
      <c r="I111" s="43" t="e">
        <f t="shared" ref="I111:I112" si="16">H111*INDEX(Physician_Type_Visit_Minutes,MATCH(B111,Physician_Type_Practice,0))/INDEX(Physician_Type_FTE_Minutes,MATCH(B111,Physician_Type_Practice,0))</f>
        <v>#REF!</v>
      </c>
      <c r="J111" s="10" t="e">
        <f>E111*'Physician Types'!$E$4</f>
        <v>#REF!</v>
      </c>
      <c r="K111" s="10" t="e">
        <f t="shared" si="8"/>
        <v>#REF!</v>
      </c>
    </row>
    <row r="112" spans="1:11" x14ac:dyDescent="0.2">
      <c r="A112" s="102"/>
      <c r="B112" s="164" t="s">
        <v>156</v>
      </c>
      <c r="C112" s="5" t="e">
        <f>SUMIFS(Physician_Visit_October,Physician_Visit_Practice,October!B112,Physician_Visit_Hospitalists, "&lt;&gt;"&amp;'Physician Types'!$D$81)+SUMIFS(Physician_Visit_October,Physician_Visit_Practice,October!B112,Physician_Visit_Hospitalists,'Physician Types'!$D$81)*INDEX(Physician_Type_Hospitalists_Visit_Minutes,MATCH(October!B112,Physician_Type_Practice,0))/INDEX(Physician_Type_Visit_Minutes,MATCH(October!B112,Physician_Type_Practice,0)) +SUMIF(Physician_Minutes_Practice,October!B112,Physician_Minutes_October)/INDEX(Physician_Type_Visit_Minutes,MATCH(October!B112,Physician_Type_Practice,0))</f>
        <v>#REF!</v>
      </c>
      <c r="D112" s="43" t="e">
        <f t="shared" si="15"/>
        <v>#REF!</v>
      </c>
      <c r="E112" s="17" t="e">
        <f>INDEX(Physician_Type_Bed_Rate,MATCH(October!B112,Physician_Type_Practice,0))*'Hospital Input Page'!$C$4</f>
        <v>#REF!</v>
      </c>
      <c r="F112" s="9" t="e">
        <f t="shared" ref="F112" si="17">D112*E112</f>
        <v>#REF!</v>
      </c>
      <c r="H112" s="5" t="e">
        <f t="array" ref="H112">SUMIFS(Physician_Visit_October, Physician_Visit_Practice, October!B112, Independent_Contractor_Visits,  'Physician Types'!$D$81) + SUMIFS(Physician_Minutes_October,Physician_Minutes_Practice,October!B112, Independent_Contractor_Minutes, 'Physician Types'!$D$81)/INDEX(Physician_Type_Visit_Minutes,MATCH(October!B112,Physician_Type_Practice,0))</f>
        <v>#REF!</v>
      </c>
      <c r="I112" s="43" t="e">
        <f t="shared" si="16"/>
        <v>#REF!</v>
      </c>
      <c r="J112" s="10" t="e">
        <f>E112*'Physician Types'!$E$4</f>
        <v>#REF!</v>
      </c>
      <c r="K112" s="10" t="e">
        <f t="shared" ref="K112" si="18">I112*J112</f>
        <v>#REF!</v>
      </c>
    </row>
    <row r="113" spans="1:11" x14ac:dyDescent="0.2">
      <c r="A113" s="102"/>
      <c r="B113" s="164" t="s">
        <v>156</v>
      </c>
      <c r="C113" s="5" t="e">
        <f>SUMIFS(Physician_Visit_October,Physician_Visit_Practice,October!B113,Physician_Visit_Hospitalists, "&lt;&gt;"&amp;'Physician Types'!$D$81)+SUMIFS(Physician_Visit_October,Physician_Visit_Practice,October!B113,Physician_Visit_Hospitalists,'Physician Types'!$D$81)*INDEX(Physician_Type_Hospitalists_Visit_Minutes,MATCH(October!B113,Physician_Type_Practice,0))/INDEX(Physician_Type_Visit_Minutes,MATCH(October!B113,Physician_Type_Practice,0)) +SUMIF(Physician_Minutes_Practice,October!B113,Physician_Minutes_October)/INDEX(Physician_Type_Visit_Minutes,MATCH(October!B113,Physician_Type_Practice,0))</f>
        <v>#REF!</v>
      </c>
      <c r="D113" s="43" t="e">
        <f t="shared" ref="D113:D116" si="19">C113*INDEX(Physician_Type_Visit_Minutes,MATCH(B113,Physician_Type_Practice,0))/INDEX(Physician_Type_FTE_Minutes,MATCH(B113,Physician_Type_Practice,0))</f>
        <v>#REF!</v>
      </c>
      <c r="E113" s="17" t="e">
        <f>INDEX(Physician_Type_Bed_Rate,MATCH(October!B113,Physician_Type_Practice,0))*'Hospital Input Page'!$C$4</f>
        <v>#REF!</v>
      </c>
      <c r="F113" s="9" t="e">
        <f t="shared" ref="F113:F116" si="20">D113*E113</f>
        <v>#REF!</v>
      </c>
      <c r="H113" s="5" t="e">
        <f t="array" ref="H113">SUMIFS(Physician_Visit_October, Physician_Visit_Practice, October!B113, Independent_Contractor_Visits,  'Physician Types'!$D$81) + SUMIFS(Physician_Minutes_October,Physician_Minutes_Practice,October!B113, Independent_Contractor_Minutes, 'Physician Types'!$D$81)/INDEX(Physician_Type_Visit_Minutes,MATCH(October!B113,Physician_Type_Practice,0))</f>
        <v>#REF!</v>
      </c>
      <c r="I113" s="43" t="e">
        <f t="shared" ref="I113:I116" si="21">H113*INDEX(Physician_Type_Visit_Minutes,MATCH(B113,Physician_Type_Practice,0))/INDEX(Physician_Type_FTE_Minutes,MATCH(B113,Physician_Type_Practice,0))</f>
        <v>#REF!</v>
      </c>
      <c r="J113" s="10" t="e">
        <f>E113*'Physician Types'!$E$4</f>
        <v>#REF!</v>
      </c>
      <c r="K113" s="10" t="e">
        <f t="shared" ref="K113:K116" si="22">I113*J113</f>
        <v>#REF!</v>
      </c>
    </row>
    <row r="114" spans="1:11" x14ac:dyDescent="0.2">
      <c r="A114" s="102"/>
      <c r="B114" s="164" t="s">
        <v>156</v>
      </c>
      <c r="C114" s="5" t="e">
        <f>SUMIFS(Physician_Visit_October,Physician_Visit_Practice,October!B114,Physician_Visit_Hospitalists, "&lt;&gt;"&amp;'Physician Types'!$D$81)+SUMIFS(Physician_Visit_October,Physician_Visit_Practice,October!B114,Physician_Visit_Hospitalists,'Physician Types'!$D$81)*INDEX(Physician_Type_Hospitalists_Visit_Minutes,MATCH(October!B114,Physician_Type_Practice,0))/INDEX(Physician_Type_Visit_Minutes,MATCH(October!B114,Physician_Type_Practice,0)) +SUMIF(Physician_Minutes_Practice,October!B114,Physician_Minutes_October)/INDEX(Physician_Type_Visit_Minutes,MATCH(October!B114,Physician_Type_Practice,0))</f>
        <v>#REF!</v>
      </c>
      <c r="D114" s="43" t="e">
        <f t="shared" si="19"/>
        <v>#REF!</v>
      </c>
      <c r="E114" s="17" t="e">
        <f>INDEX(Physician_Type_Bed_Rate,MATCH(October!B114,Physician_Type_Practice,0))*'Hospital Input Page'!$C$4</f>
        <v>#REF!</v>
      </c>
      <c r="F114" s="9" t="e">
        <f t="shared" si="20"/>
        <v>#REF!</v>
      </c>
      <c r="H114" s="5" t="e">
        <f t="array" ref="H114">SUMIFS(Physician_Visit_October, Physician_Visit_Practice, October!B114, Independent_Contractor_Visits,  'Physician Types'!$D$81) + SUMIFS(Physician_Minutes_October,Physician_Minutes_Practice,October!B114, Independent_Contractor_Minutes, 'Physician Types'!$D$81)/INDEX(Physician_Type_Visit_Minutes,MATCH(October!B114,Physician_Type_Practice,0))</f>
        <v>#REF!</v>
      </c>
      <c r="I114" s="43" t="e">
        <f t="shared" si="21"/>
        <v>#REF!</v>
      </c>
      <c r="J114" s="10" t="e">
        <f>E114*'Physician Types'!$E$4</f>
        <v>#REF!</v>
      </c>
      <c r="K114" s="10" t="e">
        <f t="shared" si="22"/>
        <v>#REF!</v>
      </c>
    </row>
    <row r="115" spans="1:11" x14ac:dyDescent="0.2">
      <c r="A115" s="102"/>
      <c r="B115" s="164" t="s">
        <v>156</v>
      </c>
      <c r="C115" s="5" t="e">
        <f>SUMIFS(Physician_Visit_October,Physician_Visit_Practice,October!B115,Physician_Visit_Hospitalists, "&lt;&gt;"&amp;'Physician Types'!$D$81)+SUMIFS(Physician_Visit_October,Physician_Visit_Practice,October!B115,Physician_Visit_Hospitalists,'Physician Types'!$D$81)*INDEX(Physician_Type_Hospitalists_Visit_Minutes,MATCH(October!B115,Physician_Type_Practice,0))/INDEX(Physician_Type_Visit_Minutes,MATCH(October!B115,Physician_Type_Practice,0)) +SUMIF(Physician_Minutes_Practice,October!B115,Physician_Minutes_October)/INDEX(Physician_Type_Visit_Minutes,MATCH(October!B115,Physician_Type_Practice,0))</f>
        <v>#REF!</v>
      </c>
      <c r="D115" s="43" t="e">
        <f t="shared" si="19"/>
        <v>#REF!</v>
      </c>
      <c r="E115" s="17" t="e">
        <f>INDEX(Physician_Type_Bed_Rate,MATCH(October!B115,Physician_Type_Practice,0))*'Hospital Input Page'!$C$4</f>
        <v>#REF!</v>
      </c>
      <c r="F115" s="9" t="e">
        <f t="shared" si="20"/>
        <v>#REF!</v>
      </c>
      <c r="H115" s="5" t="e">
        <f t="array" ref="H115">SUMIFS(Physician_Visit_October, Physician_Visit_Practice, October!B115, Independent_Contractor_Visits,  'Physician Types'!$D$81) + SUMIFS(Physician_Minutes_October,Physician_Minutes_Practice,October!B115, Independent_Contractor_Minutes, 'Physician Types'!$D$81)/INDEX(Physician_Type_Visit_Minutes,MATCH(October!B115,Physician_Type_Practice,0))</f>
        <v>#REF!</v>
      </c>
      <c r="I115" s="43" t="e">
        <f t="shared" si="21"/>
        <v>#REF!</v>
      </c>
      <c r="J115" s="10" t="e">
        <f>E115*'Physician Types'!$E$4</f>
        <v>#REF!</v>
      </c>
      <c r="K115" s="10" t="e">
        <f t="shared" si="22"/>
        <v>#REF!</v>
      </c>
    </row>
    <row r="116" spans="1:11" x14ac:dyDescent="0.2">
      <c r="A116" s="102"/>
      <c r="B116" s="164" t="s">
        <v>156</v>
      </c>
      <c r="C116" s="5" t="e">
        <f>SUMIFS(Physician_Visit_October,Physician_Visit_Practice,October!B116,Physician_Visit_Hospitalists, "&lt;&gt;"&amp;'Physician Types'!$D$81)+SUMIFS(Physician_Visit_October,Physician_Visit_Practice,October!B116,Physician_Visit_Hospitalists,'Physician Types'!$D$81)*INDEX(Physician_Type_Hospitalists_Visit_Minutes,MATCH(October!B116,Physician_Type_Practice,0))/INDEX(Physician_Type_Visit_Minutes,MATCH(October!B116,Physician_Type_Practice,0)) +SUMIF(Physician_Minutes_Practice,October!B116,Physician_Minutes_October)/INDEX(Physician_Type_Visit_Minutes,MATCH(October!B116,Physician_Type_Practice,0))</f>
        <v>#REF!</v>
      </c>
      <c r="D116" s="43" t="e">
        <f t="shared" si="19"/>
        <v>#REF!</v>
      </c>
      <c r="E116" s="17" t="e">
        <f>INDEX(Physician_Type_Bed_Rate,MATCH(October!B116,Physician_Type_Practice,0))*'Hospital Input Page'!$C$4</f>
        <v>#REF!</v>
      </c>
      <c r="F116" s="9" t="e">
        <f t="shared" si="20"/>
        <v>#REF!</v>
      </c>
      <c r="H116" s="5" t="e">
        <f t="array" ref="H116">SUMIFS(Physician_Visit_October, Physician_Visit_Practice, October!B116, Independent_Contractor_Visits,  'Physician Types'!$D$81) + SUMIFS(Physician_Minutes_October,Physician_Minutes_Practice,October!B116, Independent_Contractor_Minutes, 'Physician Types'!$D$81)/INDEX(Physician_Type_Visit_Minutes,MATCH(October!B116,Physician_Type_Practice,0))</f>
        <v>#REF!</v>
      </c>
      <c r="I116" s="43" t="e">
        <f t="shared" si="21"/>
        <v>#REF!</v>
      </c>
      <c r="J116" s="10" t="e">
        <f>E116*'Physician Types'!$E$4</f>
        <v>#REF!</v>
      </c>
      <c r="K116" s="10" t="e">
        <f t="shared" si="22"/>
        <v>#REF!</v>
      </c>
    </row>
    <row r="117" spans="1:11" x14ac:dyDescent="0.2">
      <c r="A117" s="29"/>
      <c r="B117" s="31"/>
      <c r="C117" s="9"/>
      <c r="D117" s="9"/>
      <c r="E117" s="40"/>
      <c r="F117" s="9"/>
    </row>
    <row r="118" spans="1:11" x14ac:dyDescent="0.2">
      <c r="A118" s="29"/>
      <c r="C118" s="9"/>
    </row>
    <row r="119" spans="1:11" x14ac:dyDescent="0.2">
      <c r="B119" s="46" t="s">
        <v>106</v>
      </c>
      <c r="C119" s="149"/>
      <c r="D119" s="150"/>
      <c r="E119" s="151"/>
      <c r="F119" s="48">
        <f>SUMIF(F46:F116,"&lt;&gt;#REF!",F46:F116)</f>
        <v>2911.0860003611824</v>
      </c>
      <c r="G119" s="46"/>
      <c r="H119" s="46"/>
      <c r="I119" s="46"/>
      <c r="J119" s="46"/>
      <c r="K119" s="48">
        <f>SUMIF(K46:K116,"&lt;&gt;#REF!",K46:K116)</f>
        <v>0.14947350026182241</v>
      </c>
    </row>
    <row r="120" spans="1:11" x14ac:dyDescent="0.2">
      <c r="C120" s="5"/>
      <c r="D120" s="17"/>
      <c r="E120" s="28"/>
      <c r="F120" s="9"/>
    </row>
    <row r="121" spans="1:11" x14ac:dyDescent="0.2">
      <c r="C121" s="5"/>
      <c r="D121" s="17"/>
      <c r="E121" s="28"/>
      <c r="F121" s="9"/>
    </row>
    <row r="122" spans="1:11" x14ac:dyDescent="0.2">
      <c r="C122" s="5"/>
      <c r="D122" s="17"/>
      <c r="E122" s="28"/>
      <c r="F122" s="9"/>
    </row>
    <row r="123" spans="1:11" x14ac:dyDescent="0.2">
      <c r="C123" s="5"/>
      <c r="D123" s="17"/>
      <c r="E123" s="28"/>
      <c r="F123" s="9"/>
    </row>
    <row r="124" spans="1:11" x14ac:dyDescent="0.2">
      <c r="C124" s="9"/>
    </row>
    <row r="125" spans="1:11" x14ac:dyDescent="0.2">
      <c r="C125" s="9"/>
      <c r="D125" s="9"/>
      <c r="E125" s="40"/>
      <c r="F125" s="9"/>
    </row>
    <row r="126" spans="1:11" x14ac:dyDescent="0.2">
      <c r="C126" s="9"/>
    </row>
    <row r="127" spans="1:11" x14ac:dyDescent="0.2">
      <c r="C127" s="5"/>
      <c r="D127" s="17"/>
      <c r="E127" s="28"/>
      <c r="F127" s="9"/>
    </row>
    <row r="128" spans="1:11" x14ac:dyDescent="0.2">
      <c r="C128" s="5"/>
      <c r="D128" s="17"/>
      <c r="E128" s="28"/>
      <c r="F128" s="9"/>
    </row>
    <row r="129" spans="3:6" x14ac:dyDescent="0.2">
      <c r="C129" s="5"/>
      <c r="D129" s="17"/>
      <c r="E129" s="28"/>
      <c r="F129" s="9"/>
    </row>
    <row r="130" spans="3:6" x14ac:dyDescent="0.2">
      <c r="C130" s="9"/>
    </row>
    <row r="131" spans="3:6" x14ac:dyDescent="0.2">
      <c r="C131" s="9"/>
      <c r="F131" s="9"/>
    </row>
    <row r="133" spans="3:6" x14ac:dyDescent="0.2">
      <c r="C133" s="5"/>
    </row>
    <row r="135" spans="3:6" x14ac:dyDescent="0.2">
      <c r="C135" s="5"/>
    </row>
    <row r="136" spans="3:6" x14ac:dyDescent="0.2">
      <c r="C136" s="5"/>
    </row>
    <row r="137" spans="3:6" x14ac:dyDescent="0.2">
      <c r="C137" s="5"/>
    </row>
    <row r="139" spans="3:6" x14ac:dyDescent="0.2">
      <c r="C139" s="5"/>
    </row>
  </sheetData>
  <sheetProtection algorithmName="SHA-512" hashValue="rmti6M9xm2HpVd4PTAYux2fGCn66Izn3iH/VzPJAPHw/ipW+dvA9zSLGRWh6csSFg6tr5Bv0mJj7fhq3lbNQhQ==" saltValue="5LFO8mo1lO/h0QOL6WpPzw==" spinCount="100000" sheet="1" objects="1" scenarios="1"/>
  <customSheetViews>
    <customSheetView guid="{4B7E793F-FF7C-4BA4-8EC7-9B719AA3D607}" fitToPage="1">
      <selection activeCell="B7" sqref="B7:C7"/>
      <pageMargins left="0.5" right="0.5" top="0.5" bottom="0.5" header="0.5" footer="0.5"/>
      <printOptions gridLines="1"/>
      <pageSetup scale="97" orientation="portrait" r:id="rId1"/>
      <headerFooter alignWithMargins="0"/>
    </customSheetView>
  </customSheetViews>
  <phoneticPr fontId="8" type="noConversion"/>
  <printOptions headings="1"/>
  <pageMargins left="0.5" right="0.5" top="0.5" bottom="0.5" header="0.5" footer="0.5"/>
  <pageSetup scale="94" orientation="portrait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K119"/>
  <sheetViews>
    <sheetView zoomScaleNormal="100" workbookViewId="0">
      <selection activeCell="E19" sqref="E19"/>
    </sheetView>
  </sheetViews>
  <sheetFormatPr defaultRowHeight="12.75" x14ac:dyDescent="0.2"/>
  <cols>
    <col min="1" max="1" width="3.7109375" customWidth="1"/>
    <col min="2" max="2" width="52.42578125" customWidth="1"/>
    <col min="3" max="3" width="11.7109375" customWidth="1"/>
    <col min="4" max="4" width="10.42578125" style="8" customWidth="1"/>
    <col min="5" max="5" width="9.140625" style="6" bestFit="1" customWidth="1"/>
    <col min="6" max="6" width="12.85546875" customWidth="1"/>
    <col min="8" max="8" width="12.85546875" customWidth="1"/>
    <col min="11" max="11" width="10.42578125" customWidth="1"/>
  </cols>
  <sheetData>
    <row r="1" spans="1:8" ht="15.75" x14ac:dyDescent="0.25">
      <c r="A1" s="167">
        <f>July!$D$1</f>
        <v>2019</v>
      </c>
      <c r="B1" s="19"/>
      <c r="C1" s="18" t="s">
        <v>128</v>
      </c>
      <c r="D1" s="196">
        <f>'Hospital Input Page'!F6</f>
        <v>2019</v>
      </c>
      <c r="E1" s="19"/>
    </row>
    <row r="2" spans="1:8" ht="15.75" x14ac:dyDescent="0.25">
      <c r="A2" s="18" t="str">
        <f>'Hospital Input Page'!A2</f>
        <v>LiCON MONTHLY REPORT FORM (MRF)</v>
      </c>
      <c r="B2" s="19"/>
      <c r="C2" s="19"/>
      <c r="D2" s="20"/>
      <c r="E2" s="19"/>
    </row>
    <row r="3" spans="1:8" ht="15.75" customHeight="1" x14ac:dyDescent="0.25">
      <c r="A3" s="18"/>
      <c r="B3" s="21"/>
      <c r="D3" s="20"/>
      <c r="E3" s="22"/>
      <c r="F3" s="38"/>
    </row>
    <row r="5" spans="1:8" ht="15.75" x14ac:dyDescent="0.25">
      <c r="B5" s="21" t="s">
        <v>24</v>
      </c>
      <c r="C5" s="168">
        <f>F39</f>
        <v>4382.9708916658537</v>
      </c>
      <c r="E5"/>
    </row>
    <row r="6" spans="1:8" x14ac:dyDescent="0.2">
      <c r="C6" s="2"/>
    </row>
    <row r="7" spans="1:8" x14ac:dyDescent="0.2">
      <c r="B7" s="58" t="str">
        <f>'Hospital Input Page'!$B$5</f>
        <v>Deductible</v>
      </c>
      <c r="C7" s="58">
        <f>'Hospital Input Page'!$C$5</f>
        <v>10000</v>
      </c>
    </row>
    <row r="8" spans="1:8" x14ac:dyDescent="0.2">
      <c r="B8" s="1"/>
      <c r="C8" s="3"/>
    </row>
    <row r="9" spans="1:8" ht="13.5" thickBot="1" x14ac:dyDescent="0.25">
      <c r="A9" s="4"/>
      <c r="B9" s="23" t="s">
        <v>0</v>
      </c>
      <c r="C9" s="23" t="s">
        <v>1</v>
      </c>
      <c r="D9" s="24" t="s">
        <v>27</v>
      </c>
      <c r="E9" s="25"/>
      <c r="F9" s="49" t="s">
        <v>111</v>
      </c>
    </row>
    <row r="10" spans="1:8" ht="12.95" customHeight="1" x14ac:dyDescent="0.2">
      <c r="A10" s="29">
        <v>1</v>
      </c>
      <c r="B10" s="113" t="s">
        <v>2</v>
      </c>
      <c r="C10" s="5">
        <f>INDEX(Hospital_Exposure_November, MATCH(November!B10,Hospital_Exposure_Name,0))</f>
        <v>0.83</v>
      </c>
      <c r="D10" s="17">
        <f>INDEX(Hospital_Exposure_Rate,MATCH(November!B10,Hospital_Exposure_Name,0))</f>
        <v>527.69012023747894</v>
      </c>
      <c r="E10" s="28" t="s">
        <v>21</v>
      </c>
      <c r="F10" s="50">
        <f t="shared" ref="F10:F15" si="0">C10*D10</f>
        <v>437.98279979710748</v>
      </c>
    </row>
    <row r="11" spans="1:8" ht="12.95" customHeight="1" x14ac:dyDescent="0.2">
      <c r="A11" s="29">
        <f>A10+1</f>
        <v>2</v>
      </c>
      <c r="B11" s="118" t="s">
        <v>3</v>
      </c>
      <c r="C11" s="5">
        <f>INDEX(Hospital_Exposure_November, MATCH(November!B11,Hospital_Exposure_Name,0))</f>
        <v>0</v>
      </c>
      <c r="D11" s="17">
        <f>INDEX(Hospital_Exposure_Rate,MATCH(November!B11,Hospital_Exposure_Name,0))</f>
        <v>527.69012023747894</v>
      </c>
      <c r="E11" s="28" t="s">
        <v>21</v>
      </c>
      <c r="F11" s="50">
        <f t="shared" si="0"/>
        <v>0</v>
      </c>
    </row>
    <row r="12" spans="1:8" ht="12.95" customHeight="1" x14ac:dyDescent="0.2">
      <c r="A12" s="29">
        <f t="shared" ref="A12:A35" si="1">A11+1</f>
        <v>3</v>
      </c>
      <c r="B12" s="118" t="s">
        <v>4</v>
      </c>
      <c r="C12" s="5">
        <f>INDEX(Hospital_Exposure_November, MATCH(November!B12,Hospital_Exposure_Name,0))</f>
        <v>17.399999999999999</v>
      </c>
      <c r="D12" s="17">
        <f>INDEX(Hospital_Exposure_Rate,MATCH(November!B12,Hospital_Exposure_Name,0))</f>
        <v>63.322814428497473</v>
      </c>
      <c r="E12" s="28" t="s">
        <v>21</v>
      </c>
      <c r="F12" s="50">
        <f t="shared" si="0"/>
        <v>1101.8169710558559</v>
      </c>
    </row>
    <row r="13" spans="1:8" ht="12.95" customHeight="1" x14ac:dyDescent="0.2">
      <c r="A13" s="29">
        <f t="shared" si="1"/>
        <v>4</v>
      </c>
      <c r="B13" s="118" t="s">
        <v>5</v>
      </c>
      <c r="C13" s="5">
        <f>INDEX(Hospital_Exposure_November, MATCH(November!B13,Hospital_Exposure_Name,0))</f>
        <v>0</v>
      </c>
      <c r="D13" s="17">
        <f>INDEX(Hospital_Exposure_Rate,MATCH(November!B13,Hospital_Exposure_Name,0))</f>
        <v>369.38308416623522</v>
      </c>
      <c r="E13" s="28" t="s">
        <v>21</v>
      </c>
      <c r="F13" s="50">
        <f t="shared" si="0"/>
        <v>0</v>
      </c>
    </row>
    <row r="14" spans="1:8" ht="12.95" customHeight="1" x14ac:dyDescent="0.2">
      <c r="A14" s="29">
        <f t="shared" si="1"/>
        <v>5</v>
      </c>
      <c r="B14" s="118" t="s">
        <v>6</v>
      </c>
      <c r="C14" s="5">
        <f>INDEX(Hospital_Exposure_November, MATCH(November!B14,Hospital_Exposure_Name,0))</f>
        <v>0</v>
      </c>
      <c r="D14" s="17">
        <f>INDEX(Hospital_Exposure_Rate,MATCH(November!B14,Hospital_Exposure_Name,0))</f>
        <v>237.988244227103</v>
      </c>
      <c r="E14" s="28" t="s">
        <v>21</v>
      </c>
      <c r="F14" s="50">
        <f t="shared" si="0"/>
        <v>0</v>
      </c>
    </row>
    <row r="15" spans="1:8" ht="12.95" customHeight="1" x14ac:dyDescent="0.2">
      <c r="A15" s="29">
        <f t="shared" si="1"/>
        <v>6</v>
      </c>
      <c r="B15" s="118" t="s">
        <v>7</v>
      </c>
      <c r="C15" s="5">
        <f>INDEX(Hospital_Exposure_November, MATCH(November!B15,Hospital_Exposure_Name,0))</f>
        <v>0</v>
      </c>
      <c r="D15" s="17">
        <f>INDEX(Hospital_Exposure_Rate,MATCH(November!B15,Hospital_Exposure_Name,0))</f>
        <v>184.69154208311761</v>
      </c>
      <c r="E15" s="28" t="s">
        <v>21</v>
      </c>
      <c r="F15" s="50">
        <f t="shared" si="0"/>
        <v>0</v>
      </c>
    </row>
    <row r="16" spans="1:8" ht="12.95" customHeight="1" x14ac:dyDescent="0.2">
      <c r="A16" s="29">
        <f t="shared" si="1"/>
        <v>7</v>
      </c>
      <c r="B16" s="122" t="s">
        <v>114</v>
      </c>
      <c r="C16" s="5">
        <f>INDEX(Hospital_Exposure_November, MATCH(November!B16,Hospital_Exposure_Name,0))</f>
        <v>75</v>
      </c>
      <c r="D16" s="17">
        <f>INDEX(Hospital_Exposure_Rate,MATCH(November!B16,Hospital_Exposure_Name,0))</f>
        <v>89.707320440371419</v>
      </c>
      <c r="E16" s="28" t="s">
        <v>22</v>
      </c>
      <c r="F16" s="50">
        <f>C16*D16/100</f>
        <v>67.280490330278568</v>
      </c>
      <c r="H16" s="31"/>
    </row>
    <row r="17" spans="1:8" ht="12.95" customHeight="1" x14ac:dyDescent="0.2">
      <c r="A17" s="29">
        <f t="shared" si="1"/>
        <v>8</v>
      </c>
      <c r="B17" s="122" t="s">
        <v>115</v>
      </c>
      <c r="C17" s="5">
        <f>INDEX(Hospital_Exposure_November, MATCH(November!B17,Hospital_Exposure_Name,0))</f>
        <v>1133</v>
      </c>
      <c r="D17" s="17">
        <f>INDEX(Hospital_Exposure_Rate,MATCH(November!B17,Hospital_Exposure_Name,0))</f>
        <v>21.107604809499158</v>
      </c>
      <c r="E17" s="28" t="s">
        <v>22</v>
      </c>
      <c r="F17" s="50">
        <f>C17*D17/100</f>
        <v>239.14916249162548</v>
      </c>
      <c r="H17" s="31"/>
    </row>
    <row r="18" spans="1:8" ht="12.95" customHeight="1" x14ac:dyDescent="0.2">
      <c r="A18" s="29">
        <f t="shared" si="1"/>
        <v>9</v>
      </c>
      <c r="B18" s="122" t="s">
        <v>116</v>
      </c>
      <c r="C18" s="5">
        <f>INDEX(Hospital_Exposure_November, MATCH(November!B18,Hospital_Exposure_Name,0))</f>
        <v>0</v>
      </c>
      <c r="D18" s="17">
        <f>INDEX(Hospital_Exposure_Rate,MATCH(November!B18,Hospital_Exposure_Name,0))</f>
        <v>1.1609182645224538</v>
      </c>
      <c r="E18" s="28" t="s">
        <v>22</v>
      </c>
      <c r="F18" s="50">
        <f>C18*D18/100</f>
        <v>0</v>
      </c>
    </row>
    <row r="19" spans="1:8" ht="12.95" customHeight="1" x14ac:dyDescent="0.2">
      <c r="A19" s="29">
        <f t="shared" si="1"/>
        <v>10</v>
      </c>
      <c r="B19" s="118" t="s">
        <v>8</v>
      </c>
      <c r="C19" s="5">
        <f>INDEX(Hospital_Exposure_November, MATCH(November!B19,Hospital_Exposure_Name,0))</f>
        <v>0</v>
      </c>
      <c r="D19" s="17">
        <f>INDEX(Hospital_Exposure_Rate,MATCH(November!B19,Hospital_Exposure_Name,0))</f>
        <v>26.384506011873949</v>
      </c>
      <c r="E19" s="28" t="s">
        <v>23</v>
      </c>
      <c r="F19" s="50">
        <f>C19*D19</f>
        <v>0</v>
      </c>
    </row>
    <row r="20" spans="1:8" ht="12.95" customHeight="1" x14ac:dyDescent="0.2">
      <c r="A20" s="29">
        <f t="shared" si="1"/>
        <v>11</v>
      </c>
      <c r="B20" s="118" t="s">
        <v>9</v>
      </c>
      <c r="C20" s="5">
        <f>INDEX(Hospital_Exposure_November, MATCH(November!B20,Hospital_Exposure_Name,0))</f>
        <v>0</v>
      </c>
      <c r="D20" s="17">
        <f>INDEX(Hospital_Exposure_Rate,MATCH(November!B20,Hospital_Exposure_Name,0))</f>
        <v>10.553802404749579</v>
      </c>
      <c r="E20" s="28" t="s">
        <v>23</v>
      </c>
      <c r="F20" s="50">
        <f>C20*D20</f>
        <v>0</v>
      </c>
    </row>
    <row r="21" spans="1:8" ht="12.95" customHeight="1" x14ac:dyDescent="0.2">
      <c r="A21" s="29">
        <f t="shared" si="1"/>
        <v>12</v>
      </c>
      <c r="B21" s="118" t="s">
        <v>10</v>
      </c>
      <c r="C21" s="5">
        <f>INDEX(Hospital_Exposure_November, MATCH(November!B21,Hospital_Exposure_Name,0))</f>
        <v>0</v>
      </c>
      <c r="D21" s="17">
        <f>INDEX(Hospital_Exposure_Rate,MATCH(November!B21,Hospital_Exposure_Name,0))</f>
        <v>79.153518035621843</v>
      </c>
      <c r="E21" s="28" t="s">
        <v>23</v>
      </c>
      <c r="F21" s="50">
        <f t="shared" ref="F21:F23" si="2">C21*D21</f>
        <v>0</v>
      </c>
    </row>
    <row r="22" spans="1:8" ht="12.95" customHeight="1" x14ac:dyDescent="0.2">
      <c r="A22" s="29">
        <f t="shared" si="1"/>
        <v>13</v>
      </c>
      <c r="B22" s="118" t="s">
        <v>11</v>
      </c>
      <c r="C22" s="5">
        <f>INDEX(Hospital_Exposure_November, MATCH(November!B22,Hospital_Exposure_Name,0))</f>
        <v>0</v>
      </c>
      <c r="D22" s="17">
        <f>INDEX(Hospital_Exposure_Rate,MATCH(November!B22,Hospital_Exposure_Name,0))</f>
        <v>79.153518035621843</v>
      </c>
      <c r="E22" s="28" t="s">
        <v>23</v>
      </c>
      <c r="F22" s="50">
        <f t="shared" si="2"/>
        <v>0</v>
      </c>
    </row>
    <row r="23" spans="1:8" ht="12.95" customHeight="1" x14ac:dyDescent="0.2">
      <c r="A23" s="29">
        <f t="shared" si="1"/>
        <v>14</v>
      </c>
      <c r="B23" s="122" t="s">
        <v>117</v>
      </c>
      <c r="C23" s="5">
        <f>INDEX(Hospital_Exposure_November, MATCH(November!B23,Hospital_Exposure_Name,0))</f>
        <v>0</v>
      </c>
      <c r="D23" s="17">
        <f>INDEX(Hospital_Exposure_Rate,MATCH(November!B23,Hospital_Exposure_Name,0))</f>
        <v>341.38512486587695</v>
      </c>
      <c r="E23" s="28" t="s">
        <v>23</v>
      </c>
      <c r="F23" s="50">
        <f t="shared" si="2"/>
        <v>0</v>
      </c>
    </row>
    <row r="24" spans="1:8" ht="12.95" customHeight="1" x14ac:dyDescent="0.2">
      <c r="A24" s="29">
        <f t="shared" si="1"/>
        <v>15</v>
      </c>
      <c r="B24" s="74" t="s">
        <v>136</v>
      </c>
      <c r="C24" s="5">
        <f>INDEX($C$47:$C$113,MATCH(B24,$B$47:$B$113,0))</f>
        <v>75</v>
      </c>
      <c r="D24" s="5">
        <f>INDEX($E$47:$E$113,MATCH(B24,$B$47:$B$113,0))</f>
        <v>1727.2161200254454</v>
      </c>
      <c r="E24" s="28" t="s">
        <v>22</v>
      </c>
      <c r="F24" s="50">
        <f>SUMIF(B46:B112,B24,F46:F112)+SUMIF(B46:B112,B54,K46:K112)</f>
        <v>1295.561563519346</v>
      </c>
    </row>
    <row r="25" spans="1:8" ht="12.95" customHeight="1" x14ac:dyDescent="0.2">
      <c r="A25" s="29">
        <f t="shared" si="1"/>
        <v>16</v>
      </c>
      <c r="B25" s="4" t="s">
        <v>12</v>
      </c>
      <c r="C25" s="5">
        <f>SUMIF($A$47:$A$113, 1,$D$47:$D$113)</f>
        <v>0</v>
      </c>
      <c r="D25" s="5">
        <f>IFERROR(F25/C25,0)</f>
        <v>0</v>
      </c>
      <c r="E25" s="28" t="s">
        <v>23</v>
      </c>
      <c r="F25" s="51">
        <f>SUMIF($A$46:$A$112, 1,$F$46:$F$112) + SUMIF($A$46:$A$112, 1,$K$46:$K$112)</f>
        <v>0</v>
      </c>
    </row>
    <row r="26" spans="1:8" ht="12.95" customHeight="1" x14ac:dyDescent="0.2">
      <c r="A26" s="29">
        <f t="shared" si="1"/>
        <v>17</v>
      </c>
      <c r="B26" s="4" t="s">
        <v>13</v>
      </c>
      <c r="C26" s="5">
        <f>SUMIF($A$47:$A$113, 2,$D$47:$D$113)</f>
        <v>0</v>
      </c>
      <c r="D26" s="5">
        <f t="shared" ref="D26:D35" si="3">IFERROR(F26/C26,0)</f>
        <v>0</v>
      </c>
      <c r="E26" s="28" t="s">
        <v>23</v>
      </c>
      <c r="F26" s="51">
        <f>SUMIF($A$46:$A$112, 2,$F$46:$F$112) + SUMIF($A$46:$A$112, 2,$K$46:$K$112)</f>
        <v>0</v>
      </c>
    </row>
    <row r="27" spans="1:8" ht="12.95" customHeight="1" x14ac:dyDescent="0.2">
      <c r="A27" s="29">
        <f t="shared" si="1"/>
        <v>18</v>
      </c>
      <c r="B27" s="4" t="s">
        <v>14</v>
      </c>
      <c r="C27" s="5">
        <f>SUMIF($A$47:$A$113, 3,$D$47:$D$113)</f>
        <v>0.4423161983884305</v>
      </c>
      <c r="D27" s="5">
        <f t="shared" si="3"/>
        <v>1951.6566327971132</v>
      </c>
      <c r="E27" s="28" t="s">
        <v>23</v>
      </c>
      <c r="F27" s="51">
        <f>SUMIF($A$46:$A$112, 3,$F$46:$F$112) + SUMIF($A$46:$A$112, 3,$K$46:$K$112)</f>
        <v>863.2493423783842</v>
      </c>
    </row>
    <row r="28" spans="1:8" ht="12.95" customHeight="1" x14ac:dyDescent="0.2">
      <c r="A28" s="29">
        <f t="shared" si="1"/>
        <v>19</v>
      </c>
      <c r="B28" s="4" t="s">
        <v>15</v>
      </c>
      <c r="C28" s="5">
        <f>SUMIF($A$47:$A$113, 4,$D$47:$D$113)</f>
        <v>0</v>
      </c>
      <c r="D28" s="5">
        <f t="shared" si="3"/>
        <v>0</v>
      </c>
      <c r="E28" s="28" t="s">
        <v>23</v>
      </c>
      <c r="F28" s="51">
        <f>SUMIF($A$46:$A$112, 4,$F$46:$F$112) + SUMIF($A$46:$A$112, 4,$K$46:$K$112)</f>
        <v>0</v>
      </c>
    </row>
    <row r="29" spans="1:8" ht="12.95" customHeight="1" x14ac:dyDescent="0.2">
      <c r="A29" s="29">
        <f t="shared" si="1"/>
        <v>20</v>
      </c>
      <c r="B29" s="4" t="s">
        <v>16</v>
      </c>
      <c r="C29" s="5">
        <f>SUMIF($A$47:$A$113, 5,$D$47:$D$113)</f>
        <v>0</v>
      </c>
      <c r="D29" s="5">
        <f t="shared" si="3"/>
        <v>0</v>
      </c>
      <c r="E29" s="28" t="s">
        <v>23</v>
      </c>
      <c r="F29" s="51">
        <f>SUMIF($A$46:$A$112, 5,$F$46:$F$112) + SUMIF($A$46:$A$112, 5,$K$46:$K$112)</f>
        <v>0</v>
      </c>
    </row>
    <row r="30" spans="1:8" ht="12.95" customHeight="1" x14ac:dyDescent="0.2">
      <c r="A30" s="29">
        <f t="shared" si="1"/>
        <v>21</v>
      </c>
      <c r="B30" s="4" t="s">
        <v>17</v>
      </c>
      <c r="C30" s="5">
        <f>SUMIF($A$47:$A$113, 6,$D$47:$D$113)</f>
        <v>0</v>
      </c>
      <c r="D30" s="5">
        <f t="shared" si="3"/>
        <v>0</v>
      </c>
      <c r="E30" s="28" t="s">
        <v>23</v>
      </c>
      <c r="F30" s="51">
        <f>SUMIF($A$46:$A$112, 6,$F$46:$F$112) + SUMIF($A$46:$A$112, 6,$K$46:$K$112)</f>
        <v>0</v>
      </c>
    </row>
    <row r="31" spans="1:8" ht="12.95" customHeight="1" x14ac:dyDescent="0.2">
      <c r="A31" s="29">
        <f t="shared" si="1"/>
        <v>22</v>
      </c>
      <c r="B31" s="4" t="s">
        <v>18</v>
      </c>
      <c r="C31" s="5">
        <f>SUMIF($A$47:$A$113, 7,$D$47:$D$113)</f>
        <v>0</v>
      </c>
      <c r="D31" s="5">
        <f t="shared" si="3"/>
        <v>0</v>
      </c>
      <c r="E31" s="28" t="s">
        <v>23</v>
      </c>
      <c r="F31" s="51">
        <f>SUMIF($A$46:$A$112, 7,$F$46:$F$112) + SUMIF($A$46:$A$112, 7,$K$46:$K$112)</f>
        <v>0</v>
      </c>
    </row>
    <row r="32" spans="1:8" ht="12.95" customHeight="1" x14ac:dyDescent="0.2">
      <c r="A32" s="29">
        <f t="shared" si="1"/>
        <v>23</v>
      </c>
      <c r="B32" s="4" t="s">
        <v>19</v>
      </c>
      <c r="C32" s="5">
        <f>SUMIF($A$47:$A$113, 8,$D$47:$D$113)</f>
        <v>0</v>
      </c>
      <c r="D32" s="5">
        <f t="shared" si="3"/>
        <v>0</v>
      </c>
      <c r="E32" s="28" t="s">
        <v>23</v>
      </c>
      <c r="F32" s="51">
        <f>SUMIF($A$46:$A$112, 8,$F$46:$F$112) + SUMIF($A$46:$A$112, 8,$K$46:$K$112)</f>
        <v>0</v>
      </c>
    </row>
    <row r="33" spans="1:11" ht="12.95" customHeight="1" x14ac:dyDescent="0.2">
      <c r="A33" s="29">
        <f t="shared" si="1"/>
        <v>24</v>
      </c>
      <c r="B33" t="s">
        <v>79</v>
      </c>
      <c r="C33" s="5">
        <f>SUMIF($B$47:$B$113, B33,$D$47:$D$113)</f>
        <v>0</v>
      </c>
      <c r="D33" s="5">
        <f t="shared" si="3"/>
        <v>0</v>
      </c>
      <c r="E33" s="28" t="s">
        <v>23</v>
      </c>
      <c r="F33" s="51">
        <f>SUMIF($B$46:$B$112, B33,$F$46:$F$112) + SUMIF($B$46:$B$112, B33,$K$46:$K$112)</f>
        <v>0</v>
      </c>
    </row>
    <row r="34" spans="1:11" ht="12.95" customHeight="1" x14ac:dyDescent="0.2">
      <c r="A34" s="29">
        <f t="shared" si="1"/>
        <v>25</v>
      </c>
      <c r="B34" t="s">
        <v>20</v>
      </c>
      <c r="C34" s="5">
        <f>SUMIF($B$47:$B$113, B34,$D$47:$D$113)</f>
        <v>0.76539933460258847</v>
      </c>
      <c r="D34" s="5">
        <f t="shared" si="3"/>
        <v>493.76912809766958</v>
      </c>
      <c r="E34" s="28" t="s">
        <v>23</v>
      </c>
      <c r="F34" s="51">
        <f t="shared" ref="F34:F35" si="4">SUMIF($B$46:$B$112, B34,$F$46:$F$112) + SUMIF($B$46:$B$112, B34,$K$46:$K$112)</f>
        <v>377.93056209325658</v>
      </c>
    </row>
    <row r="35" spans="1:11" ht="12.95" customHeight="1" x14ac:dyDescent="0.2">
      <c r="A35" s="29">
        <f t="shared" si="1"/>
        <v>26</v>
      </c>
      <c r="B35" t="s">
        <v>80</v>
      </c>
      <c r="C35" s="5">
        <f>SUMIF($B$47:$B$113, B35,$D$47:$D$113)</f>
        <v>0</v>
      </c>
      <c r="D35" s="5">
        <f t="shared" si="3"/>
        <v>0</v>
      </c>
      <c r="E35" s="28" t="s">
        <v>23</v>
      </c>
      <c r="F35" s="51">
        <f t="shared" si="4"/>
        <v>0</v>
      </c>
    </row>
    <row r="36" spans="1:11" x14ac:dyDescent="0.2">
      <c r="F36" s="50"/>
    </row>
    <row r="37" spans="1:11" x14ac:dyDescent="0.2">
      <c r="F37" s="50"/>
    </row>
    <row r="38" spans="1:11" x14ac:dyDescent="0.2">
      <c r="B38" s="4"/>
      <c r="C38" s="5"/>
      <c r="D38" s="17"/>
      <c r="E38" s="7"/>
      <c r="F38" s="52"/>
    </row>
    <row r="39" spans="1:11" x14ac:dyDescent="0.2">
      <c r="A39" s="31"/>
      <c r="B39" s="53" t="s">
        <v>84</v>
      </c>
      <c r="C39" s="46"/>
      <c r="D39" s="54"/>
      <c r="E39" s="55"/>
      <c r="F39" s="169">
        <f>SUM(F10:F35)</f>
        <v>4382.9708916658537</v>
      </c>
    </row>
    <row r="40" spans="1:11" x14ac:dyDescent="0.2">
      <c r="A40" s="31"/>
      <c r="B40" s="34"/>
      <c r="C40" s="31"/>
      <c r="D40" s="35"/>
      <c r="E40" s="36"/>
      <c r="F40" s="16"/>
    </row>
    <row r="41" spans="1:11" x14ac:dyDescent="0.2">
      <c r="F41" s="10"/>
    </row>
    <row r="42" spans="1:11" x14ac:dyDescent="0.2">
      <c r="F42" s="10"/>
      <c r="H42" s="45" t="s">
        <v>148</v>
      </c>
      <c r="I42" s="45"/>
      <c r="J42" s="45"/>
      <c r="K42" s="45"/>
    </row>
    <row r="43" spans="1:11" ht="25.5" x14ac:dyDescent="0.2">
      <c r="A43" s="23" t="s">
        <v>85</v>
      </c>
      <c r="B43" s="41" t="s">
        <v>86</v>
      </c>
      <c r="C43" s="46" t="s">
        <v>81</v>
      </c>
      <c r="D43" s="47" t="s">
        <v>82</v>
      </c>
      <c r="E43" s="24" t="s">
        <v>27</v>
      </c>
      <c r="F43" s="23" t="s">
        <v>26</v>
      </c>
      <c r="H43" s="44" t="s">
        <v>143</v>
      </c>
      <c r="I43" s="47" t="s">
        <v>82</v>
      </c>
      <c r="J43" s="24" t="s">
        <v>27</v>
      </c>
      <c r="K43" s="23" t="s">
        <v>149</v>
      </c>
    </row>
    <row r="44" spans="1:11" x14ac:dyDescent="0.2">
      <c r="E44" s="8"/>
    </row>
    <row r="45" spans="1:11" x14ac:dyDescent="0.2">
      <c r="E45" s="8"/>
    </row>
    <row r="46" spans="1:11" x14ac:dyDescent="0.2">
      <c r="A46" s="158">
        <v>1</v>
      </c>
      <c r="B46" s="107" t="s">
        <v>28</v>
      </c>
      <c r="C46" s="5">
        <f>SUMIFS(Physician_Visit_November,Physician_Visit_Practice,November!B46,Physician_Visit_Hospitalists, "&lt;&gt;"&amp;'Physician Types'!$D$81)+SUMIFS(Physician_Visit_November,Physician_Visit_Practice,November!B46,Physician_Visit_Hospitalists,'Physician Types'!$D$81)*INDEX(Physician_Type_Hospitalists_Visit_Minutes,MATCH(November!B46,Physician_Type_Practice,0))/INDEX(Physician_Type_Visit_Minutes,MATCH(November!B46,Physician_Type_Practice,0)) +SUMIF(Physician_Minutes_Practice,November!B46,Physician_Minutes_November)/INDEX(Physician_Type_Visit_Minutes,MATCH(November!B46,Physician_Type_Practice,0))</f>
        <v>0</v>
      </c>
      <c r="D46" s="43">
        <f t="shared" ref="D46:D77" si="5">C46*INDEX(Physician_Type_Visit_Minutes,MATCH(B46,Physician_Type_Practice,0))/INDEX(Physician_Type_FTE_Minutes,MATCH(B46,Physician_Type_Practice,0))</f>
        <v>0</v>
      </c>
      <c r="E46" s="17">
        <f>INDEX(Physician_Type_Bed_Rate,MATCH(November!B46,Physician_Type_Practice,0))*'Hospital Input Page'!$C$4</f>
        <v>925.08524394583173</v>
      </c>
      <c r="F46" s="9">
        <f>D46*E46</f>
        <v>0</v>
      </c>
      <c r="H46" s="5">
        <f t="array" ref="H46">SUMIFS(Physician_Visit_November, Physician_Visit_Practice, November!B46, Independent_Contractor_Visits,  'Physician Types'!$D$81) + SUMIFS(Physician_Minutes_November,Physician_Minutes_Practice,November!B46, Independent_Contractor_Minutes, 'Physician Types'!$D$81)/INDEX(Physician_Type_Visit_Minutes,MATCH(November!B46,Physician_Type_Practice,0))</f>
        <v>0</v>
      </c>
      <c r="I46" s="43">
        <f t="shared" ref="I46:I77" si="6">H46*INDEX(Physician_Type_Visit_Minutes,MATCH(B46,Physician_Type_Practice,0))/INDEX(Physician_Type_FTE_Minutes,MATCH(B46,Physician_Type_Practice,0))</f>
        <v>0</v>
      </c>
      <c r="J46" s="10">
        <f>E46*'Physician Types'!$E$4</f>
        <v>27.752557318374951</v>
      </c>
      <c r="K46" s="10">
        <f>I46*J46</f>
        <v>0</v>
      </c>
    </row>
    <row r="47" spans="1:11" x14ac:dyDescent="0.2">
      <c r="A47" s="158">
        <v>1</v>
      </c>
      <c r="B47" s="107" t="s">
        <v>29</v>
      </c>
      <c r="C47" s="5">
        <f>SUMIFS(Physician_Visit_November,Physician_Visit_Practice,November!B47,Physician_Visit_Hospitalists, "&lt;&gt;"&amp;'Physician Types'!$D$81)+SUMIFS(Physician_Visit_November,Physician_Visit_Practice,November!B47,Physician_Visit_Hospitalists,'Physician Types'!$D$81)*INDEX(Physician_Type_Hospitalists_Visit_Minutes,MATCH(November!B47,Physician_Type_Practice,0))/INDEX(Physician_Type_Visit_Minutes,MATCH(November!B47,Physician_Type_Practice,0)) +SUMIF(Physician_Minutes_Practice,November!B47,Physician_Minutes_November)/INDEX(Physician_Type_Visit_Minutes,MATCH(November!B47,Physician_Type_Practice,0))</f>
        <v>0</v>
      </c>
      <c r="D47" s="43">
        <f t="shared" si="5"/>
        <v>0</v>
      </c>
      <c r="E47" s="17">
        <f>INDEX(Physician_Type_Bed_Rate,MATCH(November!B47,Physician_Type_Practice,0))*'Hospital Input Page'!$C$4</f>
        <v>993.39322609373073</v>
      </c>
      <c r="F47" s="9">
        <f t="shared" ref="F47:F111" si="7">D47*E47</f>
        <v>0</v>
      </c>
      <c r="H47" s="5">
        <f t="array" ref="H47">SUMIFS(Physician_Visit_November, Physician_Visit_Practice, November!B47, Independent_Contractor_Visits,  'Physician Types'!$D$81) + SUMIFS(Physician_Minutes_November,Physician_Minutes_Practice,November!B47, Independent_Contractor_Minutes, 'Physician Types'!$D$81)/INDEX(Physician_Type_Visit_Minutes,MATCH(November!B47,Physician_Type_Practice,0))</f>
        <v>0</v>
      </c>
      <c r="I47" s="43">
        <f t="shared" si="6"/>
        <v>0</v>
      </c>
      <c r="J47" s="10">
        <f>E47*'Physician Types'!$E$4</f>
        <v>29.80179678281192</v>
      </c>
      <c r="K47" s="10">
        <f t="shared" ref="K47:K111" si="8">I47*J47</f>
        <v>0</v>
      </c>
    </row>
    <row r="48" spans="1:11" x14ac:dyDescent="0.2">
      <c r="A48" s="158">
        <v>4</v>
      </c>
      <c r="B48" s="102" t="s">
        <v>60</v>
      </c>
      <c r="C48" s="5">
        <f>SUMIFS(Physician_Visit_November,Physician_Visit_Practice,November!B48,Physician_Visit_Hospitalists, "&lt;&gt;"&amp;'Physician Types'!$D$81)+SUMIFS(Physician_Visit_November,Physician_Visit_Practice,November!B48,Physician_Visit_Hospitalists,'Physician Types'!$D$81)*INDEX(Physician_Type_Hospitalists_Visit_Minutes,MATCH(November!B48,Physician_Type_Practice,0))/INDEX(Physician_Type_Visit_Minutes,MATCH(November!B48,Physician_Type_Practice,0)) +SUMIF(Physician_Minutes_Practice,November!B48,Physician_Minutes_November)/INDEX(Physician_Type_Visit_Minutes,MATCH(November!B48,Physician_Type_Practice,0))</f>
        <v>0</v>
      </c>
      <c r="D48" s="43">
        <f t="shared" si="5"/>
        <v>0</v>
      </c>
      <c r="E48" s="17">
        <f>INDEX(Physician_Type_Bed_Rate,MATCH(November!B48,Physician_Type_Practice,0))*'Hospital Input Page'!$C$4</f>
        <v>2699.1411231584075</v>
      </c>
      <c r="F48" s="9">
        <f t="shared" si="7"/>
        <v>0</v>
      </c>
      <c r="H48" s="5">
        <f>SUMIFS(Physician_Visit_November,Physician_Visit_Practice,November!B48,Independent_Contractor_Visits, "&lt;&gt;"&amp;'Physician Types'!$D$81)+SUMIFS(Physician_Visit_November,Physician_Visit_Practice,November!B48,Independent_Contractor_Visits,'Physician Types'!$D$81)*INDEX(Physician_Type_Hospitalists_Visit_Minutes,MATCH(November!B48,Physician_Type_Practice,0))/INDEX(Physician_Type_Visit_Minutes,MATCH(November!B48,Physician_Type_Practice,0)) +SUMIF(Physician_Minutes_Practice,November!B48,Physician_Minutes_November)/INDEX(Physician_Type_Visit_Minutes,MATCH(November!B48,Physician_Type_Practice,0))</f>
        <v>0</v>
      </c>
      <c r="I48" s="43">
        <f t="shared" si="6"/>
        <v>0</v>
      </c>
      <c r="J48" s="10">
        <f>E48*'Physician Types'!$E$4</f>
        <v>80.974233694752215</v>
      </c>
      <c r="K48" s="10">
        <f t="shared" si="8"/>
        <v>0</v>
      </c>
    </row>
    <row r="49" spans="1:11" x14ac:dyDescent="0.2">
      <c r="A49" s="158">
        <v>4</v>
      </c>
      <c r="B49" s="102" t="s">
        <v>61</v>
      </c>
      <c r="C49" s="5">
        <f>SUMIFS(Physician_Visit_November,Physician_Visit_Practice,November!B49,Physician_Visit_Hospitalists, "&lt;&gt;"&amp;'Physician Types'!$D$81)+SUMIFS(Physician_Visit_November,Physician_Visit_Practice,November!B49,Physician_Visit_Hospitalists,'Physician Types'!$D$81)*INDEX(Physician_Type_Hospitalists_Visit_Minutes,MATCH(November!B49,Physician_Type_Practice,0))/INDEX(Physician_Type_Visit_Minutes,MATCH(November!B49,Physician_Type_Practice,0)) +SUMIF(Physician_Minutes_Practice,November!B49,Physician_Minutes_November)/INDEX(Physician_Type_Visit_Minutes,MATCH(November!B49,Physician_Type_Practice,0))</f>
        <v>0</v>
      </c>
      <c r="D49" s="43">
        <f t="shared" si="5"/>
        <v>0</v>
      </c>
      <c r="E49" s="17">
        <f>INDEX(Physician_Type_Bed_Rate,MATCH(November!B49,Physician_Type_Practice,0))*'Hospital Input Page'!$C$4</f>
        <v>3071.9075400226566</v>
      </c>
      <c r="F49" s="9">
        <f t="shared" si="7"/>
        <v>0</v>
      </c>
      <c r="H49" s="5">
        <f>SUMIFS(Physician_Visit_November,Physician_Visit_Practice,November!B49,Independent_Contractor_Visits, "&lt;&gt;"&amp;'Physician Types'!$D$81)+SUMIFS(Physician_Visit_November,Physician_Visit_Practice,November!B49,Independent_Contractor_Visits,'Physician Types'!$D$81)*INDEX(Physician_Type_Hospitalists_Visit_Minutes,MATCH(November!B49,Physician_Type_Practice,0))/INDEX(Physician_Type_Visit_Minutes,MATCH(November!B49,Physician_Type_Practice,0)) +SUMIF(Physician_Minutes_Practice,November!B49,Physician_Minutes_November)/INDEX(Physician_Type_Visit_Minutes,MATCH(November!B49,Physician_Type_Practice,0))</f>
        <v>0</v>
      </c>
      <c r="I49" s="43">
        <f t="shared" si="6"/>
        <v>0</v>
      </c>
      <c r="J49" s="10">
        <f>E49*'Physician Types'!$E$4</f>
        <v>92.157226200679688</v>
      </c>
      <c r="K49" s="10">
        <f t="shared" si="8"/>
        <v>0</v>
      </c>
    </row>
    <row r="50" spans="1:11" x14ac:dyDescent="0.2">
      <c r="A50" s="158">
        <v>2</v>
      </c>
      <c r="B50" s="107" t="s">
        <v>34</v>
      </c>
      <c r="C50" s="5">
        <f>SUMIFS(Physician_Visit_November,Physician_Visit_Practice,November!B50,Physician_Visit_Hospitalists, "&lt;&gt;"&amp;'Physician Types'!$D$81)+SUMIFS(Physician_Visit_November,Physician_Visit_Practice,November!B50,Physician_Visit_Hospitalists,'Physician Types'!$D$81)*INDEX(Physician_Type_Hospitalists_Visit_Minutes,MATCH(November!B50,Physician_Type_Practice,0))/INDEX(Physician_Type_Visit_Minutes,MATCH(November!B50,Physician_Type_Practice,0)) +SUMIF(Physician_Minutes_Practice,November!B50,Physician_Minutes_November)/INDEX(Physician_Type_Visit_Minutes,MATCH(November!B50,Physician_Type_Practice,0))</f>
        <v>0</v>
      </c>
      <c r="D50" s="43">
        <f t="shared" si="5"/>
        <v>0</v>
      </c>
      <c r="E50" s="17">
        <f>INDEX(Physician_Type_Bed_Rate,MATCH(November!B50,Physician_Type_Practice,0))*'Hospital Input Page'!$C$4</f>
        <v>1619.8750052216039</v>
      </c>
      <c r="F50" s="9">
        <f t="shared" si="7"/>
        <v>0</v>
      </c>
      <c r="H50" s="5">
        <f>SUMIFS(Physician_Visit_November,Physician_Visit_Practice,November!B50,Independent_Contractor_Visits, "&lt;&gt;"&amp;'Physician Types'!$D$81)+SUMIFS(Physician_Visit_November,Physician_Visit_Practice,November!B50,Independent_Contractor_Visits,'Physician Types'!$D$81)*INDEX(Physician_Type_Hospitalists_Visit_Minutes,MATCH(November!B50,Physician_Type_Practice,0))/INDEX(Physician_Type_Visit_Minutes,MATCH(November!B50,Physician_Type_Practice,0)) +SUMIF(Physician_Minutes_Practice,November!B50,Physician_Minutes_November)/INDEX(Physician_Type_Visit_Minutes,MATCH(November!B50,Physician_Type_Practice,0))</f>
        <v>0</v>
      </c>
      <c r="I50" s="43">
        <f t="shared" si="6"/>
        <v>0</v>
      </c>
      <c r="J50" s="10">
        <f>E50*'Physician Types'!$E$4</f>
        <v>48.596250156648118</v>
      </c>
      <c r="K50" s="10">
        <f t="shared" si="8"/>
        <v>0</v>
      </c>
    </row>
    <row r="51" spans="1:11" x14ac:dyDescent="0.2">
      <c r="A51" s="158">
        <v>7</v>
      </c>
      <c r="B51" s="102" t="s">
        <v>72</v>
      </c>
      <c r="C51" s="5">
        <f>SUMIFS(Physician_Visit_November,Physician_Visit_Practice,November!B51,Physician_Visit_Hospitalists, "&lt;&gt;"&amp;'Physician Types'!$D$81)+SUMIFS(Physician_Visit_November,Physician_Visit_Practice,November!B51,Physician_Visit_Hospitalists,'Physician Types'!$D$81)*INDEX(Physician_Type_Hospitalists_Visit_Minutes,MATCH(November!B51,Physician_Type_Practice,0))/INDEX(Physician_Type_Visit_Minutes,MATCH(November!B51,Physician_Type_Practice,0)) +SUMIF(Physician_Minutes_Practice,November!B51,Physician_Minutes_November)/INDEX(Physician_Type_Visit_Minutes,MATCH(November!B51,Physician_Type_Practice,0))</f>
        <v>0</v>
      </c>
      <c r="D51" s="43">
        <f t="shared" si="5"/>
        <v>0</v>
      </c>
      <c r="E51" s="17">
        <f>INDEX(Physician_Type_Bed_Rate,MATCH(November!B51,Physician_Type_Practice,0))*'Hospital Input Page'!$C$4</f>
        <v>7974.4690016090053</v>
      </c>
      <c r="F51" s="9">
        <f t="shared" si="7"/>
        <v>0</v>
      </c>
      <c r="H51" s="5">
        <f>SUMIFS(Physician_Visit_November,Physician_Visit_Practice,November!B51,Independent_Contractor_Visits, "&lt;&gt;"&amp;'Physician Types'!$D$81)+SUMIFS(Physician_Visit_November,Physician_Visit_Practice,November!B51,Independent_Contractor_Visits,'Physician Types'!$D$81)*INDEX(Physician_Type_Hospitalists_Visit_Minutes,MATCH(November!B51,Physician_Type_Practice,0))/INDEX(Physician_Type_Visit_Minutes,MATCH(November!B51,Physician_Type_Practice,0)) +SUMIF(Physician_Minutes_Practice,November!B51,Physician_Minutes_November)/INDEX(Physician_Type_Visit_Minutes,MATCH(November!B51,Physician_Type_Practice,0))</f>
        <v>0</v>
      </c>
      <c r="I51" s="43">
        <f t="shared" si="6"/>
        <v>0</v>
      </c>
      <c r="J51" s="10">
        <f>E51*'Physician Types'!$E$4</f>
        <v>239.23407004827015</v>
      </c>
      <c r="K51" s="10">
        <f t="shared" si="8"/>
        <v>0</v>
      </c>
    </row>
    <row r="52" spans="1:11" x14ac:dyDescent="0.2">
      <c r="A52" s="158">
        <v>6</v>
      </c>
      <c r="B52" s="102" t="s">
        <v>69</v>
      </c>
      <c r="C52" s="5">
        <f>SUMIFS(Physician_Visit_November,Physician_Visit_Practice,November!B52,Physician_Visit_Hospitalists, "&lt;&gt;"&amp;'Physician Types'!$D$81)+SUMIFS(Physician_Visit_November,Physician_Visit_Practice,November!B52,Physician_Visit_Hospitalists,'Physician Types'!$D$81)*INDEX(Physician_Type_Hospitalists_Visit_Minutes,MATCH(November!B52,Physician_Type_Practice,0))/INDEX(Physician_Type_Visit_Minutes,MATCH(November!B52,Physician_Type_Practice,0)) +SUMIF(Physician_Minutes_Practice,November!B52,Physician_Minutes_November)/INDEX(Physician_Type_Visit_Minutes,MATCH(November!B52,Physician_Type_Practice,0))</f>
        <v>0</v>
      </c>
      <c r="D52" s="43">
        <f t="shared" si="5"/>
        <v>0</v>
      </c>
      <c r="E52" s="17">
        <f>INDEX(Physician_Type_Bed_Rate,MATCH(November!B52,Physician_Type_Practice,0))*'Hospital Input Page'!$C$4</f>
        <v>3534.4501619955722</v>
      </c>
      <c r="F52" s="9">
        <f t="shared" si="7"/>
        <v>0</v>
      </c>
      <c r="H52" s="5">
        <f>SUMIFS(Physician_Visit_November,Physician_Visit_Practice,November!B52,Independent_Contractor_Visits, "&lt;&gt;"&amp;'Physician Types'!$D$81)+SUMIFS(Physician_Visit_November,Physician_Visit_Practice,November!B52,Independent_Contractor_Visits,'Physician Types'!$D$81)*INDEX(Physician_Type_Hospitalists_Visit_Minutes,MATCH(November!B52,Physician_Type_Practice,0))/INDEX(Physician_Type_Visit_Minutes,MATCH(November!B52,Physician_Type_Practice,0)) +SUMIF(Physician_Minutes_Practice,November!B52,Physician_Minutes_November)/INDEX(Physician_Type_Visit_Minutes,MATCH(November!B52,Physician_Type_Practice,0))</f>
        <v>0</v>
      </c>
      <c r="I52" s="43">
        <f t="shared" si="6"/>
        <v>0</v>
      </c>
      <c r="J52" s="10">
        <f>E52*'Physician Types'!$E$4</f>
        <v>106.03350485986716</v>
      </c>
      <c r="K52" s="10">
        <f t="shared" si="8"/>
        <v>0</v>
      </c>
    </row>
    <row r="53" spans="1:11" x14ac:dyDescent="0.2">
      <c r="A53" s="158">
        <v>2</v>
      </c>
      <c r="B53" s="107" t="s">
        <v>35</v>
      </c>
      <c r="C53" s="5">
        <f>SUMIFS(Physician_Visit_November,Physician_Visit_Practice,November!B53,Physician_Visit_Hospitalists, "&lt;&gt;"&amp;'Physician Types'!$D$81)+SUMIFS(Physician_Visit_November,Physician_Visit_Practice,November!B53,Physician_Visit_Hospitalists,'Physician Types'!$D$81)*INDEX(Physician_Type_Hospitalists_Visit_Minutes,MATCH(November!B53,Physician_Type_Practice,0))/INDEX(Physician_Type_Visit_Minutes,MATCH(November!B53,Physician_Type_Practice,0)) +SUMIF(Physician_Minutes_Practice,November!B53,Physician_Minutes_November)/INDEX(Physician_Type_Visit_Minutes,MATCH(November!B53,Physician_Type_Practice,0))</f>
        <v>0</v>
      </c>
      <c r="D53" s="43">
        <f t="shared" si="5"/>
        <v>0</v>
      </c>
      <c r="E53" s="17">
        <f>INDEX(Physician_Type_Bed_Rate,MATCH(November!B53,Physician_Type_Practice,0))*'Hospital Input Page'!$C$4</f>
        <v>993.39322609373073</v>
      </c>
      <c r="F53" s="9">
        <f t="shared" si="7"/>
        <v>0</v>
      </c>
      <c r="H53" s="5">
        <f>SUMIFS(Physician_Visit_November,Physician_Visit_Practice,November!B53,Independent_Contractor_Visits, "&lt;&gt;"&amp;'Physician Types'!$D$81)+SUMIFS(Physician_Visit_November,Physician_Visit_Practice,November!B53,Independent_Contractor_Visits,'Physician Types'!$D$81)*INDEX(Physician_Type_Hospitalists_Visit_Minutes,MATCH(November!B53,Physician_Type_Practice,0))/INDEX(Physician_Type_Visit_Minutes,MATCH(November!B53,Physician_Type_Practice,0)) +SUMIF(Physician_Minutes_Practice,November!B53,Physician_Minutes_November)/INDEX(Physician_Type_Visit_Minutes,MATCH(November!B53,Physician_Type_Practice,0))</f>
        <v>0</v>
      </c>
      <c r="I53" s="43">
        <f t="shared" si="6"/>
        <v>0</v>
      </c>
      <c r="J53" s="10">
        <f>E53*'Physician Types'!$E$4</f>
        <v>29.80179678281192</v>
      </c>
      <c r="K53" s="10">
        <f t="shared" si="8"/>
        <v>0</v>
      </c>
    </row>
    <row r="54" spans="1:11" x14ac:dyDescent="0.2">
      <c r="A54" s="158"/>
      <c r="B54" s="161" t="s">
        <v>136</v>
      </c>
      <c r="C54" s="5">
        <f>SUMIFS(Physician_Visit_November,Physician_Visit_Practice,November!B54,Physician_Visit_Hospitalists, "&lt;&gt;"&amp;'Physician Types'!$D$81)+SUMIFS(Physician_Visit_November,Physician_Visit_Practice,November!B54,Physician_Visit_Hospitalists,'Physician Types'!$D$81)*INDEX(Physician_Type_Hospitalists_Visit_Minutes,MATCH(November!B54,Physician_Type_Practice,0))/INDEX(Physician_Type_Visit_Minutes,MATCH(November!B54,Physician_Type_Practice,0)) +SUMIF(Physician_Minutes_Practice,November!B54,Physician_Minutes_November)/INDEX(Physician_Type_Visit_Minutes,MATCH(November!B54,Physician_Type_Practice,0))</f>
        <v>75</v>
      </c>
      <c r="D54" s="43">
        <f t="shared" si="5"/>
        <v>0.10817515721456181</v>
      </c>
      <c r="E54" s="17">
        <f>INDEX(Physician_Type_Bed_Rate,MATCH(November!B54,Physician_Type_Practice,0))*'Hospital Input Page'!$C$4</f>
        <v>1727.2161200254454</v>
      </c>
      <c r="F54" s="9">
        <f>C54*E54/100</f>
        <v>1295.4120900190842</v>
      </c>
      <c r="H54" s="5">
        <f t="array" ref="H54">SUMIFS(Physician_Visit_November, Physician_Visit_Practice, November!B54, Independent_Contractor_Visits, 'Physician Types'!$D$81)</f>
        <v>2</v>
      </c>
      <c r="I54" s="43">
        <f t="shared" si="6"/>
        <v>2.8846708590549814E-3</v>
      </c>
      <c r="J54" s="10">
        <f>E54*'Physician Types'!$E$4</f>
        <v>51.816483600763362</v>
      </c>
      <c r="K54" s="10">
        <f t="shared" si="8"/>
        <v>0.14947350026182241</v>
      </c>
    </row>
    <row r="55" spans="1:11" x14ac:dyDescent="0.2">
      <c r="A55" s="158">
        <v>2</v>
      </c>
      <c r="B55" s="107" t="s">
        <v>36</v>
      </c>
      <c r="C55" s="5">
        <f>SUMIFS(Physician_Visit_November,Physician_Visit_Practice,November!B55,Physician_Visit_Hospitalists, "&lt;&gt;"&amp;'Physician Types'!$D$81)+SUMIFS(Physician_Visit_November,Physician_Visit_Practice,November!B55,Physician_Visit_Hospitalists,'Physician Types'!$D$81)*INDEX(Physician_Type_Hospitalists_Visit_Minutes,MATCH(November!B55,Physician_Type_Practice,0))/INDEX(Physician_Type_Visit_Minutes,MATCH(November!B55,Physician_Type_Practice,0)) +SUMIF(Physician_Minutes_Practice,November!B55,Physician_Minutes_November)/INDEX(Physician_Type_Visit_Minutes,MATCH(November!B55,Physician_Type_Practice,0))</f>
        <v>0</v>
      </c>
      <c r="D55" s="43">
        <f t="shared" si="5"/>
        <v>0</v>
      </c>
      <c r="E55" s="17">
        <f>INDEX(Physician_Type_Bed_Rate,MATCH(November!B55,Physician_Type_Practice,0))*'Hospital Input Page'!$C$4</f>
        <v>2544.9602491674359</v>
      </c>
      <c r="F55" s="9">
        <f t="shared" si="7"/>
        <v>0</v>
      </c>
      <c r="H55" s="5">
        <f>SUMIFS(Physician_Visit_November,Physician_Visit_Practice,November!B55,Independent_Contractor_Visits, "&lt;&gt;"&amp;'Physician Types'!$D$81)+SUMIFS(Physician_Visit_November,Physician_Visit_Practice,November!B55,Independent_Contractor_Visits,'Physician Types'!$D$81)*INDEX(Physician_Type_Hospitalists_Visit_Minutes,MATCH(November!B55,Physician_Type_Practice,0))/INDEX(Physician_Type_Visit_Minutes,MATCH(November!B55,Physician_Type_Practice,0)) +SUMIF(Physician_Minutes_Practice,November!B55,Physician_Minutes_November)/INDEX(Physician_Type_Visit_Minutes,MATCH(November!B55,Physician_Type_Practice,0))</f>
        <v>0</v>
      </c>
      <c r="I55" s="43">
        <f t="shared" si="6"/>
        <v>0</v>
      </c>
      <c r="J55" s="10">
        <f>E55*'Physician Types'!$E$4</f>
        <v>76.348807475023079</v>
      </c>
      <c r="K55" s="10">
        <f t="shared" si="8"/>
        <v>0</v>
      </c>
    </row>
    <row r="56" spans="1:11" x14ac:dyDescent="0.2">
      <c r="A56" s="158">
        <v>2</v>
      </c>
      <c r="B56" s="107" t="s">
        <v>37</v>
      </c>
      <c r="C56" s="5">
        <f>SUMIFS(Physician_Visit_November,Physician_Visit_Practice,November!B56,Physician_Visit_Hospitalists, "&lt;&gt;"&amp;'Physician Types'!$D$81)+SUMIFS(Physician_Visit_November,Physician_Visit_Practice,November!B56,Physician_Visit_Hospitalists,'Physician Types'!$D$81)*INDEX(Physician_Type_Hospitalists_Visit_Minutes,MATCH(November!B56,Physician_Type_Practice,0))/INDEX(Physician_Type_Visit_Minutes,MATCH(November!B56,Physician_Type_Practice,0)) +SUMIF(Physician_Minutes_Practice,November!B56,Physician_Minutes_November)/INDEX(Physician_Type_Visit_Minutes,MATCH(November!B56,Physician_Type_Practice,0))</f>
        <v>0</v>
      </c>
      <c r="D56" s="43">
        <f t="shared" si="5"/>
        <v>0</v>
      </c>
      <c r="E56" s="17">
        <f>INDEX(Physician_Type_Bed_Rate,MATCH(November!B56,Physician_Type_Practice,0))*'Hospital Input Page'!$C$4</f>
        <v>1567.1802761360821</v>
      </c>
      <c r="F56" s="9">
        <f t="shared" si="7"/>
        <v>0</v>
      </c>
      <c r="H56" s="5">
        <f t="array" ref="H56">SUMIFS(Physician_Visit_November, Physician_Visit_Practice, November!B56, Independent_Contractor_Visits,  'Physician Types'!$D$81) + SUMIFS(Physician_Minutes_November,Physician_Minutes_Practice,November!B56, Independent_Contractor_Minutes, 'Physician Types'!$D$81)/INDEX(Physician_Type_Visit_Minutes,MATCH(November!B56,Physician_Type_Practice,0))</f>
        <v>0</v>
      </c>
      <c r="I56" s="43">
        <f t="shared" si="6"/>
        <v>0</v>
      </c>
      <c r="J56" s="10">
        <f>E56*'Physician Types'!$E$4</f>
        <v>47.015408284082461</v>
      </c>
      <c r="K56" s="10">
        <f t="shared" si="8"/>
        <v>0</v>
      </c>
    </row>
    <row r="57" spans="1:11" x14ac:dyDescent="0.2">
      <c r="A57" s="158">
        <v>2</v>
      </c>
      <c r="B57" s="107" t="s">
        <v>38</v>
      </c>
      <c r="C57" s="5">
        <f>SUMIFS(Physician_Visit_November,Physician_Visit_Practice,November!B57,Physician_Visit_Hospitalists, "&lt;&gt;"&amp;'Physician Types'!$D$81)+SUMIFS(Physician_Visit_November,Physician_Visit_Practice,November!B57,Physician_Visit_Hospitalists,'Physician Types'!$D$81)*INDEX(Physician_Type_Hospitalists_Visit_Minutes,MATCH(November!B57,Physician_Type_Practice,0))/INDEX(Physician_Type_Visit_Minutes,MATCH(November!B57,Physician_Type_Practice,0)) +SUMIF(Physician_Minutes_Practice,November!B57,Physician_Minutes_November)/INDEX(Physician_Type_Visit_Minutes,MATCH(November!B57,Physician_Type_Practice,0))</f>
        <v>0</v>
      </c>
      <c r="D57" s="43">
        <f t="shared" si="5"/>
        <v>0</v>
      </c>
      <c r="E57" s="17">
        <f>INDEX(Physician_Type_Bed_Rate,MATCH(November!B57,Physician_Type_Practice,0))*'Hospital Input Page'!$C$4</f>
        <v>4399.0340503246935</v>
      </c>
      <c r="F57" s="9">
        <f t="shared" si="7"/>
        <v>0</v>
      </c>
      <c r="H57" s="5">
        <f t="array" ref="H57">SUMIFS(Physician_Visit_November, Physician_Visit_Practice, November!B57, Independent_Contractor_Visits,  'Physician Types'!$D$81) + SUMIFS(Physician_Minutes_November,Physician_Minutes_Practice,November!B57, Independent_Contractor_Minutes, 'Physician Types'!$D$81)/INDEX(Physician_Type_Visit_Minutes,MATCH(November!B57,Physician_Type_Practice,0))</f>
        <v>0</v>
      </c>
      <c r="I57" s="43">
        <f t="shared" si="6"/>
        <v>0</v>
      </c>
      <c r="J57" s="10">
        <f>E57*'Physician Types'!$E$4</f>
        <v>131.97102150974081</v>
      </c>
      <c r="K57" s="10">
        <f t="shared" si="8"/>
        <v>0</v>
      </c>
    </row>
    <row r="58" spans="1:11" x14ac:dyDescent="0.2">
      <c r="A58" s="158">
        <v>3</v>
      </c>
      <c r="B58" s="161" t="s">
        <v>155</v>
      </c>
      <c r="C58" s="5">
        <f>SUMIFS(Physician_Visit_November,Physician_Visit_Practice,November!B58,Physician_Visit_Hospitalists, "&lt;&gt;"&amp;'Physician Types'!$D$81)+SUMIFS(Physician_Visit_November,Physician_Visit_Practice,November!B58,Physician_Visit_Hospitalists,'Physician Types'!$D$81)*INDEX(Physician_Type_Hospitalists_Visit_Minutes,MATCH(November!B58,Physician_Type_Practice,0))/INDEX(Physician_Type_Visit_Minutes,MATCH(November!B58,Physician_Type_Practice,0)) +SUMIF(Physician_Minutes_Practice,November!B58,Physician_Minutes_November)/INDEX(Physician_Type_Visit_Minutes,MATCH(November!B58,Physician_Type_Practice,0))</f>
        <v>230</v>
      </c>
      <c r="D58" s="43">
        <f t="shared" si="5"/>
        <v>0.4423161983884305</v>
      </c>
      <c r="E58" s="17">
        <f>INDEX(Physician_Type_Bed_Rate,MATCH(November!B58,Physician_Type_Practice,0))*'Hospital Input Page'!$C$4</f>
        <v>1951.6566327971132</v>
      </c>
      <c r="F58" s="9">
        <f t="shared" si="7"/>
        <v>863.2493423783842</v>
      </c>
      <c r="H58" s="5">
        <f t="array" ref="H58">SUMIFS(Physician_Visit_November, Physician_Visit_Practice, November!B58, Independent_Contractor_Visits,  'Physician Types'!$D$81) + SUMIFS(Physician_Minutes_November,Physician_Minutes_Practice,November!B58, Independent_Contractor_Minutes, 'Physician Types'!$D$81)/INDEX(Physician_Type_Visit_Minutes,MATCH(November!B58,Physician_Type_Practice,0))</f>
        <v>0</v>
      </c>
      <c r="I58" s="43">
        <f t="shared" si="6"/>
        <v>0</v>
      </c>
      <c r="J58" s="10">
        <f>E58*'Physician Types'!$E$4</f>
        <v>58.549698983913395</v>
      </c>
      <c r="K58" s="10">
        <f t="shared" si="8"/>
        <v>0</v>
      </c>
    </row>
    <row r="59" spans="1:11" x14ac:dyDescent="0.2">
      <c r="A59" s="158">
        <v>5</v>
      </c>
      <c r="B59" s="161" t="s">
        <v>137</v>
      </c>
      <c r="C59" s="5">
        <f>SUMIFS(Physician_Visit_November,Physician_Visit_Practice,November!B59,Physician_Visit_Hospitalists, "&lt;&gt;"&amp;'Physician Types'!$D$81)+SUMIFS(Physician_Visit_November,Physician_Visit_Practice,November!B59,Physician_Visit_Hospitalists,'Physician Types'!$D$81)*INDEX(Physician_Type_Hospitalists_Visit_Minutes,MATCH(November!B59,Physician_Type_Practice,0))/INDEX(Physician_Type_Visit_Minutes,MATCH(November!B59,Physician_Type_Practice,0)) +SUMIF(Physician_Minutes_Practice,November!B59,Physician_Minutes_November)/INDEX(Physician_Type_Visit_Minutes,MATCH(November!B59,Physician_Type_Practice,0))</f>
        <v>0</v>
      </c>
      <c r="D59" s="43">
        <f t="shared" si="5"/>
        <v>0</v>
      </c>
      <c r="E59" s="17">
        <f>INDEX(Physician_Type_Bed_Rate,MATCH(November!B59,Physician_Type_Practice,0))*'Hospital Input Page'!$C$4</f>
        <v>4933.7879677111023</v>
      </c>
      <c r="F59" s="9">
        <f t="shared" si="7"/>
        <v>0</v>
      </c>
      <c r="H59" s="5">
        <f t="array" ref="H59">SUMIFS(Physician_Visit_November, Physician_Visit_Practice, November!B59, Independent_Contractor_Visits,  'Physician Types'!$D$81) + SUMIFS(Physician_Minutes_November,Physician_Minutes_Practice,November!B59, Independent_Contractor_Minutes, 'Physician Types'!$D$81)/INDEX(Physician_Type_Visit_Minutes,MATCH(November!B59,Physician_Type_Practice,0))</f>
        <v>0</v>
      </c>
      <c r="I59" s="43">
        <f t="shared" si="6"/>
        <v>0</v>
      </c>
      <c r="J59" s="10">
        <f>E59*'Physician Types'!$E$4</f>
        <v>148.01363903133307</v>
      </c>
      <c r="K59" s="10">
        <f t="shared" si="8"/>
        <v>0</v>
      </c>
    </row>
    <row r="60" spans="1:11" x14ac:dyDescent="0.2">
      <c r="A60" s="158">
        <v>6</v>
      </c>
      <c r="B60" s="102" t="s">
        <v>70</v>
      </c>
      <c r="C60" s="5">
        <f>SUMIFS(Physician_Visit_November,Physician_Visit_Practice,November!B60,Physician_Visit_Hospitalists, "&lt;&gt;"&amp;'Physician Types'!$D$81)+SUMIFS(Physician_Visit_November,Physician_Visit_Practice,November!B60,Physician_Visit_Hospitalists,'Physician Types'!$D$81)*INDEX(Physician_Type_Hospitalists_Visit_Minutes,MATCH(November!B60,Physician_Type_Practice,0))/INDEX(Physician_Type_Visit_Minutes,MATCH(November!B60,Physician_Type_Practice,0)) +SUMIF(Physician_Minutes_Practice,November!B60,Physician_Minutes_November)/INDEX(Physician_Type_Visit_Minutes,MATCH(November!B60,Physician_Type_Practice,0))</f>
        <v>0</v>
      </c>
      <c r="D60" s="43">
        <f t="shared" si="5"/>
        <v>0</v>
      </c>
      <c r="E60" s="17">
        <f>INDEX(Physician_Type_Bed_Rate,MATCH(November!B60,Physician_Type_Practice,0))*'Hospital Input Page'!$C$4</f>
        <v>5179.6967034435384</v>
      </c>
      <c r="F60" s="9">
        <f t="shared" si="7"/>
        <v>0</v>
      </c>
      <c r="H60" s="5">
        <f t="array" ref="H60">SUMIFS(Physician_Visit_November, Physician_Visit_Practice, November!B60, Independent_Contractor_Visits,  'Physician Types'!$D$81) + SUMIFS(Physician_Minutes_November,Physician_Minutes_Practice,November!B60, Independent_Contractor_Minutes, 'Physician Types'!$D$81)/INDEX(Physician_Type_Visit_Minutes,MATCH(November!B60,Physician_Type_Practice,0))</f>
        <v>0</v>
      </c>
      <c r="I60" s="43">
        <f t="shared" si="6"/>
        <v>0</v>
      </c>
      <c r="J60" s="10">
        <f>E60*'Physician Types'!$E$4</f>
        <v>155.39090110330613</v>
      </c>
      <c r="K60" s="10">
        <f t="shared" si="8"/>
        <v>0</v>
      </c>
    </row>
    <row r="61" spans="1:11" x14ac:dyDescent="0.2">
      <c r="A61" s="158">
        <v>2</v>
      </c>
      <c r="B61" s="107" t="s">
        <v>39</v>
      </c>
      <c r="C61" s="5">
        <f>SUMIFS(Physician_Visit_November,Physician_Visit_Practice,November!B61,Physician_Visit_Hospitalists, "&lt;&gt;"&amp;'Physician Types'!$D$81)+SUMIFS(Physician_Visit_November,Physician_Visit_Practice,November!B61,Physician_Visit_Hospitalists,'Physician Types'!$D$81)*INDEX(Physician_Type_Hospitalists_Visit_Minutes,MATCH(November!B61,Physician_Type_Practice,0))/INDEX(Physician_Type_Visit_Minutes,MATCH(November!B61,Physician_Type_Practice,0)) +SUMIF(Physician_Minutes_Practice,November!B61,Physician_Minutes_November)/INDEX(Physician_Type_Visit_Minutes,MATCH(November!B61,Physician_Type_Practice,0))</f>
        <v>0</v>
      </c>
      <c r="D61" s="43">
        <f t="shared" si="5"/>
        <v>0</v>
      </c>
      <c r="E61" s="17">
        <f>INDEX(Physician_Type_Bed_Rate,MATCH(November!B61,Physician_Type_Practice,0))*'Hospital Input Page'!$C$4</f>
        <v>2539.1052792690443</v>
      </c>
      <c r="F61" s="9">
        <f t="shared" si="7"/>
        <v>0</v>
      </c>
      <c r="H61" s="5">
        <f t="array" ref="H61">SUMIFS(Physician_Visit_November, Physician_Visit_Practice, November!B61, Independent_Contractor_Visits,  'Physician Types'!$D$81) + SUMIFS(Physician_Minutes_November,Physician_Minutes_Practice,November!B61, Independent_Contractor_Minutes, 'Physician Types'!$D$81)/INDEX(Physician_Type_Visit_Minutes,MATCH(November!B61,Physician_Type_Practice,0))</f>
        <v>0</v>
      </c>
      <c r="I61" s="43">
        <f t="shared" si="6"/>
        <v>0</v>
      </c>
      <c r="J61" s="10">
        <f>E61*'Physician Types'!$E$4</f>
        <v>76.173158378071321</v>
      </c>
      <c r="K61" s="10">
        <f t="shared" si="8"/>
        <v>0</v>
      </c>
    </row>
    <row r="62" spans="1:11" x14ac:dyDescent="0.2">
      <c r="A62" s="158">
        <v>2</v>
      </c>
      <c r="B62" s="107" t="s">
        <v>40</v>
      </c>
      <c r="C62" s="5">
        <f>SUMIFS(Physician_Visit_November,Physician_Visit_Practice,November!B62,Physician_Visit_Hospitalists, "&lt;&gt;"&amp;'Physician Types'!$D$81)+SUMIFS(Physician_Visit_November,Physician_Visit_Practice,November!B62,Physician_Visit_Hospitalists,'Physician Types'!$D$81)*INDEX(Physician_Type_Hospitalists_Visit_Minutes,MATCH(November!B62,Physician_Type_Practice,0))/INDEX(Physician_Type_Visit_Minutes,MATCH(November!B62,Physician_Type_Practice,0)) +SUMIF(Physician_Minutes_Practice,November!B62,Physician_Minutes_November)/INDEX(Physician_Type_Visit_Minutes,MATCH(November!B62,Physician_Type_Practice,0))</f>
        <v>0</v>
      </c>
      <c r="D62" s="43">
        <f t="shared" si="5"/>
        <v>0</v>
      </c>
      <c r="E62" s="17">
        <f>INDEX(Physician_Type_Bed_Rate,MATCH(November!B62,Physician_Type_Practice,0))*'Hospital Input Page'!$C$4</f>
        <v>1619.8750052216039</v>
      </c>
      <c r="F62" s="9">
        <f t="shared" si="7"/>
        <v>0</v>
      </c>
      <c r="H62" s="5">
        <f t="array" ref="H62">SUMIFS(Physician_Visit_November, Physician_Visit_Practice, November!B62, Independent_Contractor_Visits,  'Physician Types'!$D$81) + SUMIFS(Physician_Minutes_November,Physician_Minutes_Practice,November!B62, Independent_Contractor_Minutes, 'Physician Types'!$D$81)/INDEX(Physician_Type_Visit_Minutes,MATCH(November!B62,Physician_Type_Practice,0))</f>
        <v>0</v>
      </c>
      <c r="I62" s="43">
        <f t="shared" si="6"/>
        <v>0</v>
      </c>
      <c r="J62" s="10">
        <f>E62*'Physician Types'!$E$4</f>
        <v>48.596250156648118</v>
      </c>
      <c r="K62" s="10">
        <f t="shared" si="8"/>
        <v>0</v>
      </c>
    </row>
    <row r="63" spans="1:11" x14ac:dyDescent="0.2">
      <c r="A63" s="158">
        <v>2</v>
      </c>
      <c r="B63" s="107" t="s">
        <v>41</v>
      </c>
      <c r="C63" s="5">
        <f>SUMIFS(Physician_Visit_November,Physician_Visit_Practice,November!B63,Physician_Visit_Hospitalists, "&lt;&gt;"&amp;'Physician Types'!$D$81)+SUMIFS(Physician_Visit_November,Physician_Visit_Practice,November!B63,Physician_Visit_Hospitalists,'Physician Types'!$D$81)*INDEX(Physician_Type_Hospitalists_Visit_Minutes,MATCH(November!B63,Physician_Type_Practice,0))/INDEX(Physician_Type_Visit_Minutes,MATCH(November!B63,Physician_Type_Practice,0)) +SUMIF(Physician_Minutes_Practice,November!B63,Physician_Minutes_November)/INDEX(Physician_Type_Visit_Minutes,MATCH(November!B63,Physician_Type_Practice,0))</f>
        <v>0</v>
      </c>
      <c r="D63" s="43">
        <f t="shared" si="5"/>
        <v>0</v>
      </c>
      <c r="E63" s="17">
        <f>INDEX(Physician_Type_Bed_Rate,MATCH(November!B63,Physician_Type_Practice,0))*'Hospital Input Page'!$C$4</f>
        <v>4844.0117626024357</v>
      </c>
      <c r="F63" s="9">
        <f t="shared" si="7"/>
        <v>0</v>
      </c>
      <c r="H63" s="5">
        <f t="array" ref="H63">SUMIFS(Physician_Visit_November, Physician_Visit_Practice, November!B63, Independent_Contractor_Visits,  'Physician Types'!$D$81) + SUMIFS(Physician_Minutes_November,Physician_Minutes_Practice,November!B63, Independent_Contractor_Minutes, 'Physician Types'!$D$81)/INDEX(Physician_Type_Visit_Minutes,MATCH(November!B63,Physician_Type_Practice,0))</f>
        <v>0</v>
      </c>
      <c r="I63" s="43">
        <f t="shared" si="6"/>
        <v>0</v>
      </c>
      <c r="J63" s="10">
        <f>E63*'Physician Types'!$E$4</f>
        <v>145.32035287807307</v>
      </c>
      <c r="K63" s="10">
        <f t="shared" si="8"/>
        <v>0</v>
      </c>
    </row>
    <row r="64" spans="1:11" x14ac:dyDescent="0.2">
      <c r="A64" s="158">
        <v>6</v>
      </c>
      <c r="B64" s="128" t="s">
        <v>138</v>
      </c>
      <c r="C64" s="5">
        <f>SUMIFS(Physician_Visit_November,Physician_Visit_Practice,November!B64,Physician_Visit_Hospitalists, "&lt;&gt;"&amp;'Physician Types'!$D$81)+SUMIFS(Physician_Visit_November,Physician_Visit_Practice,November!B64,Physician_Visit_Hospitalists,'Physician Types'!$D$81)*INDEX(Physician_Type_Hospitalists_Visit_Minutes,MATCH(November!B64,Physician_Type_Practice,0))/INDEX(Physician_Type_Visit_Minutes,MATCH(November!B64,Physician_Type_Practice,0)) +SUMIF(Physician_Minutes_Practice,November!B64,Physician_Minutes_November)/INDEX(Physician_Type_Visit_Minutes,MATCH(November!B64,Physician_Type_Practice,0))</f>
        <v>0</v>
      </c>
      <c r="D64" s="43">
        <f t="shared" si="5"/>
        <v>0</v>
      </c>
      <c r="E64" s="17">
        <f>INDEX(Physician_Type_Bed_Rate,MATCH(November!B64,Physician_Type_Practice,0))*'Hospital Input Page'!$C$4</f>
        <v>5782.7586029778467</v>
      </c>
      <c r="F64" s="9">
        <f t="shared" si="7"/>
        <v>0</v>
      </c>
      <c r="H64" s="5">
        <f t="array" ref="H64">SUMIFS(Physician_Visit_November, Physician_Visit_Practice, November!B64, Independent_Contractor_Visits,  'Physician Types'!$D$81) + SUMIFS(Physician_Minutes_November,Physician_Minutes_Practice,November!B64, Independent_Contractor_Minutes, 'Physician Types'!$D$81)/INDEX(Physician_Type_Visit_Minutes,MATCH(November!B64,Physician_Type_Practice,0))</f>
        <v>0</v>
      </c>
      <c r="I64" s="43">
        <f t="shared" si="6"/>
        <v>0</v>
      </c>
      <c r="J64" s="10">
        <f>E64*'Physician Types'!$E$4</f>
        <v>173.48275808933539</v>
      </c>
      <c r="K64" s="10">
        <f t="shared" si="8"/>
        <v>0</v>
      </c>
    </row>
    <row r="65" spans="1:11" x14ac:dyDescent="0.2">
      <c r="A65" s="158">
        <v>2</v>
      </c>
      <c r="B65" s="107" t="s">
        <v>42</v>
      </c>
      <c r="C65" s="5">
        <f>SUMIFS(Physician_Visit_November,Physician_Visit_Practice,November!B65,Physician_Visit_Hospitalists, "&lt;&gt;"&amp;'Physician Types'!$D$81)+SUMIFS(Physician_Visit_November,Physician_Visit_Practice,November!B65,Physician_Visit_Hospitalists,'Physician Types'!$D$81)*INDEX(Physician_Type_Hospitalists_Visit_Minutes,MATCH(November!B65,Physician_Type_Practice,0))/INDEX(Physician_Type_Visit_Minutes,MATCH(November!B65,Physician_Type_Practice,0)) +SUMIF(Physician_Minutes_Practice,November!B65,Physician_Minutes_November)/INDEX(Physician_Type_Visit_Minutes,MATCH(November!B65,Physician_Type_Practice,0))</f>
        <v>0</v>
      </c>
      <c r="D65" s="43">
        <f t="shared" si="5"/>
        <v>0</v>
      </c>
      <c r="E65" s="17">
        <f>INDEX(Physician_Type_Bed_Rate,MATCH(November!B65,Physician_Type_Practice,0))*'Hospital Input Page'!$C$4</f>
        <v>1487.1623541914003</v>
      </c>
      <c r="F65" s="9">
        <f t="shared" si="7"/>
        <v>0</v>
      </c>
      <c r="H65" s="5">
        <f t="array" ref="H65">SUMIFS(Physician_Visit_November, Physician_Visit_Practice, November!B65, Independent_Contractor_Visits,  'Physician Types'!$D$81) + SUMIFS(Physician_Minutes_November,Physician_Minutes_Practice,November!B65, Independent_Contractor_Minutes, 'Physician Types'!$D$81)/INDEX(Physician_Type_Visit_Minutes,MATCH(November!B65,Physician_Type_Practice,0))</f>
        <v>0</v>
      </c>
      <c r="I65" s="43">
        <f t="shared" si="6"/>
        <v>0</v>
      </c>
      <c r="J65" s="10">
        <f>E65*'Physician Types'!$E$4</f>
        <v>44.614870625742007</v>
      </c>
      <c r="K65" s="10">
        <f t="shared" si="8"/>
        <v>0</v>
      </c>
    </row>
    <row r="66" spans="1:11" x14ac:dyDescent="0.2">
      <c r="A66" s="158">
        <v>5</v>
      </c>
      <c r="B66" s="102" t="s">
        <v>64</v>
      </c>
      <c r="C66" s="5">
        <f>SUMIFS(Physician_Visit_November,Physician_Visit_Practice,November!B66,Physician_Visit_Hospitalists, "&lt;&gt;"&amp;'Physician Types'!$D$81)+SUMIFS(Physician_Visit_November,Physician_Visit_Practice,November!B66,Physician_Visit_Hospitalists,'Physician Types'!$D$81)*INDEX(Physician_Type_Hospitalists_Visit_Minutes,MATCH(November!B66,Physician_Type_Practice,0))/INDEX(Physician_Type_Visit_Minutes,MATCH(November!B66,Physician_Type_Practice,0)) +SUMIF(Physician_Minutes_Practice,November!B66,Physician_Minutes_November)/INDEX(Physician_Type_Visit_Minutes,MATCH(November!B66,Physician_Type_Practice,0))</f>
        <v>0</v>
      </c>
      <c r="D66" s="43">
        <f t="shared" si="5"/>
        <v>0</v>
      </c>
      <c r="E66" s="17">
        <f>INDEX(Physician_Type_Bed_Rate,MATCH(November!B66,Physician_Type_Practice,0))*'Hospital Input Page'!$C$4</f>
        <v>2406.3926282388406</v>
      </c>
      <c r="F66" s="9">
        <f t="shared" si="7"/>
        <v>0</v>
      </c>
      <c r="H66" s="5">
        <f t="array" ref="H66">SUMIFS(Physician_Visit_November, Physician_Visit_Practice, November!B66, Independent_Contractor_Visits,  'Physician Types'!$D$81) + SUMIFS(Physician_Minutes_November,Physician_Minutes_Practice,November!B66, Independent_Contractor_Minutes, 'Physician Types'!$D$81)/INDEX(Physician_Type_Visit_Minutes,MATCH(November!B66,Physician_Type_Practice,0))</f>
        <v>0</v>
      </c>
      <c r="I66" s="43">
        <f t="shared" si="6"/>
        <v>0</v>
      </c>
      <c r="J66" s="10">
        <f>E66*'Physician Types'!$E$4</f>
        <v>72.19177884716521</v>
      </c>
      <c r="K66" s="10">
        <f t="shared" si="8"/>
        <v>0</v>
      </c>
    </row>
    <row r="67" spans="1:11" x14ac:dyDescent="0.2">
      <c r="A67" s="158">
        <v>5</v>
      </c>
      <c r="B67" s="102" t="s">
        <v>65</v>
      </c>
      <c r="C67" s="5">
        <f>SUMIFS(Physician_Visit_November,Physician_Visit_Practice,November!B67,Physician_Visit_Hospitalists, "&lt;&gt;"&amp;'Physician Types'!$D$81)+SUMIFS(Physician_Visit_November,Physician_Visit_Practice,November!B67,Physician_Visit_Hospitalists,'Physician Types'!$D$81)*INDEX(Physician_Type_Hospitalists_Visit_Minutes,MATCH(November!B67,Physician_Type_Practice,0))/INDEX(Physician_Type_Visit_Minutes,MATCH(November!B67,Physician_Type_Practice,0)) +SUMIF(Physician_Minutes_Practice,November!B67,Physician_Minutes_November)/INDEX(Physician_Type_Visit_Minutes,MATCH(November!B67,Physician_Type_Practice,0))</f>
        <v>0</v>
      </c>
      <c r="D67" s="43">
        <f t="shared" si="5"/>
        <v>0</v>
      </c>
      <c r="E67" s="17">
        <f>INDEX(Physician_Type_Bed_Rate,MATCH(November!B67,Physician_Type_Practice,0))*'Hospital Input Page'!$C$4</f>
        <v>1487.1623541914003</v>
      </c>
      <c r="F67" s="9">
        <f t="shared" si="7"/>
        <v>0</v>
      </c>
      <c r="H67" s="5">
        <f t="array" ref="H67">SUMIFS(Physician_Visit_November, Physician_Visit_Practice, November!B67, Independent_Contractor_Visits,  'Physician Types'!$D$81) + SUMIFS(Physician_Minutes_November,Physician_Minutes_Practice,November!B67, Independent_Contractor_Minutes, 'Physician Types'!$D$81)/INDEX(Physician_Type_Visit_Minutes,MATCH(November!B67,Physician_Type_Practice,0))</f>
        <v>0</v>
      </c>
      <c r="I67" s="43">
        <f t="shared" si="6"/>
        <v>0</v>
      </c>
      <c r="J67" s="10">
        <f>E67*'Physician Types'!$E$4</f>
        <v>44.614870625742007</v>
      </c>
      <c r="K67" s="10">
        <f t="shared" si="8"/>
        <v>0</v>
      </c>
    </row>
    <row r="68" spans="1:11" x14ac:dyDescent="0.2">
      <c r="A68" s="158">
        <v>5</v>
      </c>
      <c r="B68" s="102" t="s">
        <v>66</v>
      </c>
      <c r="C68" s="5">
        <f>SUMIFS(Physician_Visit_November,Physician_Visit_Practice,November!B68,Physician_Visit_Hospitalists, "&lt;&gt;"&amp;'Physician Types'!$D$81)+SUMIFS(Physician_Visit_November,Physician_Visit_Practice,November!B68,Physician_Visit_Hospitalists,'Physician Types'!$D$81)*INDEX(Physician_Type_Hospitalists_Visit_Minutes,MATCH(November!B68,Physician_Type_Practice,0))/INDEX(Physician_Type_Visit_Minutes,MATCH(November!B68,Physician_Type_Practice,0)) +SUMIF(Physician_Minutes_Practice,November!B68,Physician_Minutes_November)/INDEX(Physician_Type_Visit_Minutes,MATCH(November!B68,Physician_Type_Practice,0))</f>
        <v>0</v>
      </c>
      <c r="D68" s="43">
        <f t="shared" si="5"/>
        <v>0</v>
      </c>
      <c r="E68" s="17">
        <f>INDEX(Physician_Type_Bed_Rate,MATCH(November!B68,Physician_Type_Practice,0))*'Hospital Input Page'!$C$4</f>
        <v>4644.9427860571295</v>
      </c>
      <c r="F68" s="9">
        <f t="shared" si="7"/>
        <v>0</v>
      </c>
      <c r="H68" s="5">
        <f t="array" ref="H68">SUMIFS(Physician_Visit_November, Physician_Visit_Practice, November!B68, Independent_Contractor_Visits,  'Physician Types'!$D$81) + SUMIFS(Physician_Minutes_November,Physician_Minutes_Practice,November!B68, Independent_Contractor_Minutes, 'Physician Types'!$D$81)/INDEX(Physician_Type_Visit_Minutes,MATCH(November!B68,Physician_Type_Practice,0))</f>
        <v>0</v>
      </c>
      <c r="I68" s="43">
        <f t="shared" si="6"/>
        <v>0</v>
      </c>
      <c r="J68" s="10">
        <f>E68*'Physician Types'!$E$4</f>
        <v>139.34828358171387</v>
      </c>
      <c r="K68" s="10">
        <f t="shared" si="8"/>
        <v>0</v>
      </c>
    </row>
    <row r="69" spans="1:11" x14ac:dyDescent="0.2">
      <c r="A69" s="158">
        <v>2</v>
      </c>
      <c r="B69" s="107" t="s">
        <v>43</v>
      </c>
      <c r="C69" s="5">
        <f>SUMIFS(Physician_Visit_November,Physician_Visit_Practice,November!B69,Physician_Visit_Hospitalists, "&lt;&gt;"&amp;'Physician Types'!$D$81)+SUMIFS(Physician_Visit_November,Physician_Visit_Practice,November!B69,Physician_Visit_Hospitalists,'Physician Types'!$D$81)*INDEX(Physician_Type_Hospitalists_Visit_Minutes,MATCH(November!B69,Physician_Type_Practice,0))/INDEX(Physician_Type_Visit_Minutes,MATCH(November!B69,Physician_Type_Practice,0)) +SUMIF(Physician_Minutes_Practice,November!B69,Physician_Minutes_November)/INDEX(Physician_Type_Visit_Minutes,MATCH(November!B69,Physician_Type_Practice,0))</f>
        <v>0</v>
      </c>
      <c r="D69" s="43">
        <f t="shared" si="5"/>
        <v>0</v>
      </c>
      <c r="E69" s="17">
        <f>INDEX(Physician_Type_Bed_Rate,MATCH(November!B69,Physician_Type_Practice,0))*'Hospital Input Page'!$C$4</f>
        <v>2539.1052792690443</v>
      </c>
      <c r="F69" s="9">
        <f t="shared" si="7"/>
        <v>0</v>
      </c>
      <c r="H69" s="5">
        <f t="array" ref="H69">SUMIFS(Physician_Visit_November, Physician_Visit_Practice, November!B69, Independent_Contractor_Visits,  'Physician Types'!$D$81) + SUMIFS(Physician_Minutes_November,Physician_Minutes_Practice,November!B69, Independent_Contractor_Minutes, 'Physician Types'!$D$81)/INDEX(Physician_Type_Visit_Minutes,MATCH(November!B69,Physician_Type_Practice,0))</f>
        <v>0</v>
      </c>
      <c r="I69" s="43">
        <f t="shared" si="6"/>
        <v>0</v>
      </c>
      <c r="J69" s="10">
        <f>E69*'Physician Types'!$E$4</f>
        <v>76.173158378071321</v>
      </c>
      <c r="K69" s="10">
        <f t="shared" si="8"/>
        <v>0</v>
      </c>
    </row>
    <row r="70" spans="1:11" x14ac:dyDescent="0.2">
      <c r="A70" s="158">
        <v>2</v>
      </c>
      <c r="B70" s="107" t="s">
        <v>44</v>
      </c>
      <c r="C70" s="5">
        <f>SUMIFS(Physician_Visit_November,Physician_Visit_Practice,November!B70,Physician_Visit_Hospitalists, "&lt;&gt;"&amp;'Physician Types'!$D$81)+SUMIFS(Physician_Visit_November,Physician_Visit_Practice,November!B70,Physician_Visit_Hospitalists,'Physician Types'!$D$81)*INDEX(Physician_Type_Hospitalists_Visit_Minutes,MATCH(November!B70,Physician_Type_Practice,0))/INDEX(Physician_Type_Visit_Minutes,MATCH(November!B70,Physician_Type_Practice,0)) +SUMIF(Physician_Minutes_Practice,November!B70,Physician_Minutes_November)/INDEX(Physician_Type_Visit_Minutes,MATCH(November!B70,Physician_Type_Practice,0))</f>
        <v>0</v>
      </c>
      <c r="D70" s="43">
        <f t="shared" si="5"/>
        <v>0</v>
      </c>
      <c r="E70" s="17">
        <f>INDEX(Physician_Type_Bed_Rate,MATCH(November!B70,Physician_Type_Practice,0))*'Hospital Input Page'!$C$4</f>
        <v>1619.8750052216039</v>
      </c>
      <c r="F70" s="9">
        <f t="shared" si="7"/>
        <v>0</v>
      </c>
      <c r="H70" s="5">
        <f t="array" ref="H70">SUMIFS(Physician_Visit_November, Physician_Visit_Practice, November!B70, Independent_Contractor_Visits,  'Physician Types'!$D$81) + SUMIFS(Physician_Minutes_November,Physician_Minutes_Practice,November!B70, Independent_Contractor_Minutes, 'Physician Types'!$D$81)/INDEX(Physician_Type_Visit_Minutes,MATCH(November!B70,Physician_Type_Practice,0))</f>
        <v>0</v>
      </c>
      <c r="I70" s="43">
        <f t="shared" si="6"/>
        <v>0</v>
      </c>
      <c r="J70" s="10">
        <f>E70*'Physician Types'!$E$4</f>
        <v>48.596250156648118</v>
      </c>
      <c r="K70" s="10">
        <f t="shared" si="8"/>
        <v>0</v>
      </c>
    </row>
    <row r="71" spans="1:11" x14ac:dyDescent="0.2">
      <c r="A71" s="158">
        <v>2</v>
      </c>
      <c r="B71" s="161" t="s">
        <v>154</v>
      </c>
      <c r="C71" s="5">
        <f>SUMIFS(Physician_Visit_November,Physician_Visit_Practice,November!B71,Physician_Visit_Hospitalists, "&lt;&gt;"&amp;'Physician Types'!$D$81)+SUMIFS(Physician_Visit_November,Physician_Visit_Practice,November!B71,Physician_Visit_Hospitalists,'Physician Types'!$D$81)*INDEX(Physician_Type_Hospitalists_Visit_Minutes,MATCH(November!B71,Physician_Type_Practice,0))/INDEX(Physician_Type_Visit_Minutes,MATCH(November!B71,Physician_Type_Practice,0)) +SUMIF(Physician_Minutes_Practice,November!B71,Physician_Minutes_November)/INDEX(Physician_Type_Visit_Minutes,MATCH(November!B71,Physician_Type_Practice,0))</f>
        <v>0</v>
      </c>
      <c r="D71" s="43">
        <f t="shared" si="5"/>
        <v>0</v>
      </c>
      <c r="E71" s="17">
        <f>INDEX(Physician_Type_Bed_Rate,MATCH(November!B71,Physician_Type_Practice,0))*'Hospital Input Page'!$C$4</f>
        <v>1951.6566327971132</v>
      </c>
      <c r="F71" s="9">
        <f t="shared" si="7"/>
        <v>0</v>
      </c>
      <c r="H71" s="5">
        <f t="array" ref="H71">SUMIFS(Physician_Visit_November, Physician_Visit_Practice, November!B71, Independent_Contractor_Visits,  'Physician Types'!$D$81) + SUMIFS(Physician_Minutes_November,Physician_Minutes_Practice,November!B71, Independent_Contractor_Minutes, 'Physician Types'!$D$81)/INDEX(Physician_Type_Visit_Minutes,MATCH(November!B71,Physician_Type_Practice,0))</f>
        <v>0</v>
      </c>
      <c r="I71" s="43">
        <f t="shared" si="6"/>
        <v>0</v>
      </c>
      <c r="J71" s="10">
        <f>E71*'Physician Types'!$E$4</f>
        <v>58.549698983913395</v>
      </c>
      <c r="K71" s="10">
        <f t="shared" si="8"/>
        <v>0</v>
      </c>
    </row>
    <row r="72" spans="1:11" x14ac:dyDescent="0.2">
      <c r="A72" s="158">
        <v>4</v>
      </c>
      <c r="B72" s="102" t="s">
        <v>62</v>
      </c>
      <c r="C72" s="5">
        <f>SUMIFS(Physician_Visit_November,Physician_Visit_Practice,November!B72,Physician_Visit_Hospitalists, "&lt;&gt;"&amp;'Physician Types'!$D$81)+SUMIFS(Physician_Visit_November,Physician_Visit_Practice,November!B72,Physician_Visit_Hospitalists,'Physician Types'!$D$81)*INDEX(Physician_Type_Hospitalists_Visit_Minutes,MATCH(November!B72,Physician_Type_Practice,0))/INDEX(Physician_Type_Visit_Minutes,MATCH(November!B72,Physician_Type_Practice,0)) +SUMIF(Physician_Minutes_Practice,November!B72,Physician_Minutes_November)/INDEX(Physician_Type_Visit_Minutes,MATCH(November!B72,Physician_Type_Practice,0))</f>
        <v>0</v>
      </c>
      <c r="D72" s="43">
        <f t="shared" si="5"/>
        <v>0</v>
      </c>
      <c r="E72" s="17">
        <f>INDEX(Physician_Type_Bed_Rate,MATCH(November!B72,Physician_Type_Practice,0))*'Hospital Input Page'!$C$4</f>
        <v>2529.3469961050587</v>
      </c>
      <c r="F72" s="9">
        <f t="shared" si="7"/>
        <v>0</v>
      </c>
      <c r="H72" s="5">
        <f t="array" ref="H72">SUMIFS(Physician_Visit_November, Physician_Visit_Practice, November!B72, Independent_Contractor_Visits,  'Physician Types'!$D$81) + SUMIFS(Physician_Minutes_November,Physician_Minutes_Practice,November!B72, Independent_Contractor_Minutes, 'Physician Types'!$D$81)/INDEX(Physician_Type_Visit_Minutes,MATCH(November!B72,Physician_Type_Practice,0))</f>
        <v>0</v>
      </c>
      <c r="I72" s="43">
        <f t="shared" si="6"/>
        <v>0</v>
      </c>
      <c r="J72" s="10">
        <f>E72*'Physician Types'!$E$4</f>
        <v>75.880409883151756</v>
      </c>
      <c r="K72" s="10">
        <f t="shared" si="8"/>
        <v>0</v>
      </c>
    </row>
    <row r="73" spans="1:11" x14ac:dyDescent="0.2">
      <c r="A73" s="158">
        <v>2</v>
      </c>
      <c r="B73" s="107" t="s">
        <v>45</v>
      </c>
      <c r="C73" s="5">
        <f>SUMIFS(Physician_Visit_November,Physician_Visit_Practice,November!B73,Physician_Visit_Hospitalists, "&lt;&gt;"&amp;'Physician Types'!$D$81)+SUMIFS(Physician_Visit_November,Physician_Visit_Practice,November!B73,Physician_Visit_Hospitalists,'Physician Types'!$D$81)*INDEX(Physician_Type_Hospitalists_Visit_Minutes,MATCH(November!B73,Physician_Type_Practice,0))/INDEX(Physician_Type_Visit_Minutes,MATCH(November!B73,Physician_Type_Practice,0)) +SUMIF(Physician_Minutes_Practice,November!B73,Physician_Minutes_November)/INDEX(Physician_Type_Visit_Minutes,MATCH(November!B73,Physician_Type_Practice,0))</f>
        <v>0</v>
      </c>
      <c r="D73" s="43">
        <f t="shared" si="5"/>
        <v>0</v>
      </c>
      <c r="E73" s="17">
        <f>INDEX(Physician_Type_Bed_Rate,MATCH(November!B73,Physician_Type_Practice,0))*'Hospital Input Page'!$C$4</f>
        <v>4844.0117626024357</v>
      </c>
      <c r="F73" s="9">
        <f t="shared" si="7"/>
        <v>0</v>
      </c>
      <c r="H73" s="5">
        <f t="array" ref="H73">SUMIFS(Physician_Visit_November, Physician_Visit_Practice, November!B73, Independent_Contractor_Visits,  'Physician Types'!$D$81) + SUMIFS(Physician_Minutes_November,Physician_Minutes_Practice,November!B73, Independent_Contractor_Minutes, 'Physician Types'!$D$81)/INDEX(Physician_Type_Visit_Minutes,MATCH(November!B73,Physician_Type_Practice,0))</f>
        <v>0</v>
      </c>
      <c r="I73" s="43">
        <f t="shared" si="6"/>
        <v>0</v>
      </c>
      <c r="J73" s="10">
        <f>E73*'Physician Types'!$E$4</f>
        <v>145.32035287807307</v>
      </c>
      <c r="K73" s="10">
        <f t="shared" si="8"/>
        <v>0</v>
      </c>
    </row>
    <row r="74" spans="1:11" x14ac:dyDescent="0.2">
      <c r="A74" s="158">
        <v>4</v>
      </c>
      <c r="B74" s="107" t="s">
        <v>63</v>
      </c>
      <c r="C74" s="5">
        <f>SUMIFS(Physician_Visit_November,Physician_Visit_Practice,November!B74,Physician_Visit_Hospitalists, "&lt;&gt;"&amp;'Physician Types'!$D$81)+SUMIFS(Physician_Visit_November,Physician_Visit_Practice,November!B74,Physician_Visit_Hospitalists,'Physician Types'!$D$81)*INDEX(Physician_Type_Hospitalists_Visit_Minutes,MATCH(November!B74,Physician_Type_Practice,0))/INDEX(Physician_Type_Visit_Minutes,MATCH(November!B74,Physician_Type_Practice,0)) +SUMIF(Physician_Minutes_Practice,November!B74,Physician_Minutes_November)/INDEX(Physician_Type_Visit_Minutes,MATCH(November!B74,Physician_Type_Practice,0))</f>
        <v>0</v>
      </c>
      <c r="D74" s="43">
        <f t="shared" si="5"/>
        <v>0</v>
      </c>
      <c r="E74" s="17">
        <f>INDEX(Physician_Type_Bed_Rate,MATCH(November!B74,Physician_Type_Practice,0))*'Hospital Input Page'!$C$4</f>
        <v>2539.1052792690443</v>
      </c>
      <c r="F74" s="9">
        <f t="shared" si="7"/>
        <v>0</v>
      </c>
      <c r="H74" s="5">
        <f t="array" ref="H74">SUMIFS(Physician_Visit_November, Physician_Visit_Practice, November!B74, Independent_Contractor_Visits,  'Physician Types'!$D$81) + SUMIFS(Physician_Minutes_November,Physician_Minutes_Practice,November!B74, Independent_Contractor_Minutes, 'Physician Types'!$D$81)/INDEX(Physician_Type_Visit_Minutes,MATCH(November!B74,Physician_Type_Practice,0))</f>
        <v>0</v>
      </c>
      <c r="I74" s="43">
        <f t="shared" si="6"/>
        <v>0</v>
      </c>
      <c r="J74" s="10">
        <f>E74*'Physician Types'!$E$4</f>
        <v>76.173158378071321</v>
      </c>
      <c r="K74" s="10">
        <f t="shared" si="8"/>
        <v>0</v>
      </c>
    </row>
    <row r="75" spans="1:11" x14ac:dyDescent="0.2">
      <c r="A75" s="158">
        <v>2</v>
      </c>
      <c r="B75" s="107" t="s">
        <v>46</v>
      </c>
      <c r="C75" s="5">
        <f>SUMIFS(Physician_Visit_November,Physician_Visit_Practice,November!B75,Physician_Visit_Hospitalists, "&lt;&gt;"&amp;'Physician Types'!$D$81)+SUMIFS(Physician_Visit_November,Physician_Visit_Practice,November!B75,Physician_Visit_Hospitalists,'Physician Types'!$D$81)*INDEX(Physician_Type_Hospitalists_Visit_Minutes,MATCH(November!B75,Physician_Type_Practice,0))/INDEX(Physician_Type_Visit_Minutes,MATCH(November!B75,Physician_Type_Practice,0)) +SUMIF(Physician_Minutes_Practice,November!B75,Physician_Minutes_November)/INDEX(Physician_Type_Visit_Minutes,MATCH(November!B75,Physician_Type_Practice,0))</f>
        <v>0</v>
      </c>
      <c r="D75" s="43">
        <f t="shared" si="5"/>
        <v>0</v>
      </c>
      <c r="E75" s="17">
        <f>INDEX(Physician_Type_Bed_Rate,MATCH(November!B75,Physician_Type_Practice,0))*'Hospital Input Page'!$C$4</f>
        <v>1619.8750052216039</v>
      </c>
      <c r="F75" s="9">
        <f t="shared" si="7"/>
        <v>0</v>
      </c>
      <c r="H75" s="5">
        <f t="array" ref="H75">SUMIFS(Physician_Visit_November, Physician_Visit_Practice, November!B75, Independent_Contractor_Visits,  'Physician Types'!$D$81) + SUMIFS(Physician_Minutes_November,Physician_Minutes_Practice,November!B75, Independent_Contractor_Minutes, 'Physician Types'!$D$81)/INDEX(Physician_Type_Visit_Minutes,MATCH(November!B75,Physician_Type_Practice,0))</f>
        <v>0</v>
      </c>
      <c r="I75" s="43">
        <f t="shared" si="6"/>
        <v>0</v>
      </c>
      <c r="J75" s="10">
        <f>E75*'Physician Types'!$E$4</f>
        <v>48.596250156648118</v>
      </c>
      <c r="K75" s="10">
        <f t="shared" si="8"/>
        <v>0</v>
      </c>
    </row>
    <row r="76" spans="1:11" x14ac:dyDescent="0.2">
      <c r="A76" s="158">
        <v>3</v>
      </c>
      <c r="B76" s="102" t="s">
        <v>54</v>
      </c>
      <c r="C76" s="5">
        <f>SUMIFS(Physician_Visit_November,Physician_Visit_Practice,November!B76,Physician_Visit_Hospitalists, "&lt;&gt;"&amp;'Physician Types'!$D$81)+SUMIFS(Physician_Visit_November,Physician_Visit_Practice,November!B76,Physician_Visit_Hospitalists,'Physician Types'!$D$81)*INDEX(Physician_Type_Hospitalists_Visit_Minutes,MATCH(November!B76,Physician_Type_Practice,0))/INDEX(Physician_Type_Visit_Minutes,MATCH(November!B76,Physician_Type_Practice,0)) +SUMIF(Physician_Minutes_Practice,November!B76,Physician_Minutes_November)/INDEX(Physician_Type_Visit_Minutes,MATCH(November!B76,Physician_Type_Practice,0))</f>
        <v>0</v>
      </c>
      <c r="D76" s="43">
        <f t="shared" si="5"/>
        <v>0</v>
      </c>
      <c r="E76" s="17">
        <f>INDEX(Physician_Type_Bed_Rate,MATCH(November!B76,Physician_Type_Practice,0))*'Hospital Input Page'!$C$4</f>
        <v>2699.1411231584075</v>
      </c>
      <c r="F76" s="9">
        <f t="shared" si="7"/>
        <v>0</v>
      </c>
      <c r="H76" s="5">
        <f t="array" ref="H76">SUMIFS(Physician_Visit_November, Physician_Visit_Practice, November!B76, Independent_Contractor_Visits,  'Physician Types'!$D$81) + SUMIFS(Physician_Minutes_November,Physician_Minutes_Practice,November!B76, Independent_Contractor_Minutes, 'Physician Types'!$D$81)/INDEX(Physician_Type_Visit_Minutes,MATCH(November!B76,Physician_Type_Practice,0))</f>
        <v>0</v>
      </c>
      <c r="I76" s="43">
        <f t="shared" si="6"/>
        <v>0</v>
      </c>
      <c r="J76" s="10">
        <f>E76*'Physician Types'!$E$4</f>
        <v>80.974233694752215</v>
      </c>
      <c r="K76" s="10">
        <f t="shared" si="8"/>
        <v>0</v>
      </c>
    </row>
    <row r="77" spans="1:11" x14ac:dyDescent="0.2">
      <c r="A77" s="158">
        <v>3</v>
      </c>
      <c r="B77" s="102" t="s">
        <v>55</v>
      </c>
      <c r="C77" s="5">
        <f>SUMIFS(Physician_Visit_November,Physician_Visit_Practice,November!B77,Physician_Visit_Hospitalists, "&lt;&gt;"&amp;'Physician Types'!$D$81)+SUMIFS(Physician_Visit_November,Physician_Visit_Practice,November!B77,Physician_Visit_Hospitalists,'Physician Types'!$D$81)*INDEX(Physician_Type_Hospitalists_Visit_Minutes,MATCH(November!B77,Physician_Type_Practice,0))/INDEX(Physician_Type_Visit_Minutes,MATCH(November!B77,Physician_Type_Practice,0)) +SUMIF(Physician_Minutes_Practice,November!B77,Physician_Minutes_November)/INDEX(Physician_Type_Visit_Minutes,MATCH(November!B77,Physician_Type_Practice,0))</f>
        <v>0</v>
      </c>
      <c r="D77" s="43">
        <f t="shared" si="5"/>
        <v>0</v>
      </c>
      <c r="E77" s="17">
        <f>INDEX(Physician_Type_Bed_Rate,MATCH(November!B77,Physician_Type_Practice,0))*'Hospital Input Page'!$C$4</f>
        <v>2222.9369047559121</v>
      </c>
      <c r="F77" s="9">
        <f t="shared" si="7"/>
        <v>0</v>
      </c>
      <c r="H77" s="5">
        <f t="array" ref="H77">SUMIFS(Physician_Visit_November, Physician_Visit_Practice, November!B77, Independent_Contractor_Visits,  'Physician Types'!$D$81) + SUMIFS(Physician_Minutes_November,Physician_Minutes_Practice,November!B77, Independent_Contractor_Minutes, 'Physician Types'!$D$81)/INDEX(Physician_Type_Visit_Minutes,MATCH(November!B77,Physician_Type_Practice,0))</f>
        <v>0</v>
      </c>
      <c r="I77" s="43">
        <f t="shared" si="6"/>
        <v>0</v>
      </c>
      <c r="J77" s="10">
        <f>E77*'Physician Types'!$E$4</f>
        <v>66.688107142677367</v>
      </c>
      <c r="K77" s="10">
        <f t="shared" si="8"/>
        <v>0</v>
      </c>
    </row>
    <row r="78" spans="1:11" x14ac:dyDescent="0.2">
      <c r="A78" s="158">
        <v>8</v>
      </c>
      <c r="B78" s="102" t="s">
        <v>77</v>
      </c>
      <c r="C78" s="5">
        <f>SUMIFS(Physician_Visit_November,Physician_Visit_Practice,November!B78,Physician_Visit_Hospitalists, "&lt;&gt;"&amp;'Physician Types'!$D$81)+SUMIFS(Physician_Visit_November,Physician_Visit_Practice,November!B78,Physician_Visit_Hospitalists,'Physician Types'!$D$81)*INDEX(Physician_Type_Hospitalists_Visit_Minutes,MATCH(November!B78,Physician_Type_Practice,0))/INDEX(Physician_Type_Visit_Minutes,MATCH(November!B78,Physician_Type_Practice,0)) +SUMIF(Physician_Minutes_Practice,November!B78,Physician_Minutes_November)/INDEX(Physician_Type_Visit_Minutes,MATCH(November!B78,Physician_Type_Practice,0))</f>
        <v>0</v>
      </c>
      <c r="D78" s="43">
        <f t="shared" ref="D78:D110" si="9">C78*INDEX(Physician_Type_Visit_Minutes,MATCH(B78,Physician_Type_Practice,0))/INDEX(Physician_Type_FTE_Minutes,MATCH(B78,Physician_Type_Practice,0))</f>
        <v>0</v>
      </c>
      <c r="E78" s="17">
        <f>INDEX(Physician_Type_Bed_Rate,MATCH(November!B78,Physician_Type_Practice,0))*'Hospital Input Page'!$C$4</f>
        <v>11024.908318670894</v>
      </c>
      <c r="F78" s="9">
        <f t="shared" si="7"/>
        <v>0</v>
      </c>
      <c r="H78" s="5">
        <f t="array" ref="H78">SUMIFS(Physician_Visit_November, Physician_Visit_Practice, November!B78, Independent_Contractor_Visits,  'Physician Types'!$D$81) + SUMIFS(Physician_Minutes_November,Physician_Minutes_Practice,November!B78, Independent_Contractor_Minutes, 'Physician Types'!$D$81)/INDEX(Physician_Type_Visit_Minutes,MATCH(November!B78,Physician_Type_Practice,0))</f>
        <v>0</v>
      </c>
      <c r="I78" s="43">
        <f t="shared" ref="I78:I110" si="10">H78*INDEX(Physician_Type_Visit_Minutes,MATCH(B78,Physician_Type_Practice,0))/INDEX(Physician_Type_FTE_Minutes,MATCH(B78,Physician_Type_Practice,0))</f>
        <v>0</v>
      </c>
      <c r="J78" s="10">
        <f>E78*'Physician Types'!$E$4</f>
        <v>330.74724956012682</v>
      </c>
      <c r="K78" s="10">
        <f t="shared" si="8"/>
        <v>0</v>
      </c>
    </row>
    <row r="79" spans="1:11" x14ac:dyDescent="0.2">
      <c r="A79" s="158"/>
      <c r="B79" s="102" t="s">
        <v>79</v>
      </c>
      <c r="C79" s="5">
        <f>SUMIFS(Physician_Visit_November,Physician_Visit_Practice,November!B79,Physician_Visit_Hospitalists, "&lt;&gt;"&amp;'Physician Types'!$D$81)+SUMIFS(Physician_Visit_November,Physician_Visit_Practice,November!B79,Physician_Visit_Hospitalists,'Physician Types'!$D$81)*INDEX(Physician_Type_Hospitalists_Visit_Minutes,MATCH(November!B79,Physician_Type_Practice,0))/INDEX(Physician_Type_Visit_Minutes,MATCH(November!B79,Physician_Type_Practice,0)) +SUMIF(Physician_Minutes_Practice,November!B79,Physician_Minutes_November)/INDEX(Physician_Type_Visit_Minutes,MATCH(November!B79,Physician_Type_Practice,0))</f>
        <v>0</v>
      </c>
      <c r="D79" s="43">
        <f t="shared" si="9"/>
        <v>0</v>
      </c>
      <c r="E79" s="17">
        <f>INDEX(Physician_Type_Bed_Rate,MATCH(November!B79,Physician_Type_Practice,0))*'Hospital Input Page'!$C$4</f>
        <v>858.72891843072989</v>
      </c>
      <c r="F79" s="9">
        <f t="shared" si="7"/>
        <v>0</v>
      </c>
      <c r="H79" s="5">
        <f t="array" ref="H79">SUMIFS(Physician_Visit_November, Physician_Visit_Practice, November!B79, Independent_Contractor_Visits,  'Physician Types'!$D$81) + SUMIFS(Physician_Minutes_November,Physician_Minutes_Practice,November!B79, Independent_Contractor_Minutes, 'Physician Types'!$D$81)/INDEX(Physician_Type_Visit_Minutes,MATCH(November!B79,Physician_Type_Practice,0))</f>
        <v>0</v>
      </c>
      <c r="I79" s="43">
        <f t="shared" si="10"/>
        <v>0</v>
      </c>
      <c r="J79" s="10">
        <f>E79*'Physician Types'!$E$4</f>
        <v>25.761867552921895</v>
      </c>
      <c r="K79" s="10">
        <f t="shared" si="8"/>
        <v>0</v>
      </c>
    </row>
    <row r="80" spans="1:11" x14ac:dyDescent="0.2">
      <c r="A80" s="158">
        <v>5</v>
      </c>
      <c r="B80" s="102" t="s">
        <v>67</v>
      </c>
      <c r="C80" s="5">
        <f>SUMIFS(Physician_Visit_November,Physician_Visit_Practice,November!B80,Physician_Visit_Hospitalists, "&lt;&gt;"&amp;'Physician Types'!$D$81)+SUMIFS(Physician_Visit_November,Physician_Visit_Practice,November!B80,Physician_Visit_Hospitalists,'Physician Types'!$D$81)*INDEX(Physician_Type_Hospitalists_Visit_Minutes,MATCH(November!B80,Physician_Type_Practice,0))/INDEX(Physician_Type_Visit_Minutes,MATCH(November!B80,Physician_Type_Practice,0)) +SUMIF(Physician_Minutes_Practice,November!B80,Physician_Minutes_November)/INDEX(Physician_Type_Visit_Minutes,MATCH(November!B80,Physician_Type_Practice,0))</f>
        <v>0</v>
      </c>
      <c r="D80" s="43">
        <f t="shared" si="9"/>
        <v>0</v>
      </c>
      <c r="E80" s="17">
        <f>INDEX(Physician_Type_Bed_Rate,MATCH(November!B80,Physician_Type_Practice,0))*'Hospital Input Page'!$C$4</f>
        <v>1955.5599460627077</v>
      </c>
      <c r="F80" s="9">
        <f t="shared" si="7"/>
        <v>0</v>
      </c>
      <c r="H80" s="5">
        <f t="array" ref="H80">SUMIFS(Physician_Visit_November, Physician_Visit_Practice, November!B80, Independent_Contractor_Visits,  'Physician Types'!$D$81) + SUMIFS(Physician_Minutes_November,Physician_Minutes_Practice,November!B80, Independent_Contractor_Minutes, 'Physician Types'!$D$81)/INDEX(Physician_Type_Visit_Minutes,MATCH(November!B80,Physician_Type_Practice,0))</f>
        <v>0</v>
      </c>
      <c r="I80" s="43">
        <f t="shared" si="10"/>
        <v>0</v>
      </c>
      <c r="J80" s="10">
        <f>E80*'Physician Types'!$E$4</f>
        <v>58.666798381881229</v>
      </c>
      <c r="K80" s="10">
        <f t="shared" si="8"/>
        <v>0</v>
      </c>
    </row>
    <row r="81" spans="1:11" x14ac:dyDescent="0.2">
      <c r="A81" s="158"/>
      <c r="B81" s="102" t="s">
        <v>80</v>
      </c>
      <c r="C81" s="5">
        <f>SUMIFS(Physician_Visit_November,Physician_Visit_Practice,November!B81,Physician_Visit_Hospitalists, "&lt;&gt;"&amp;'Physician Types'!$D$81)+SUMIFS(Physician_Visit_November,Physician_Visit_Practice,November!B81,Physician_Visit_Hospitalists,'Physician Types'!$D$81)*INDEX(Physician_Type_Hospitalists_Visit_Minutes,MATCH(November!B81,Physician_Type_Practice,0))/INDEX(Physician_Type_Visit_Minutes,MATCH(November!B81,Physician_Type_Practice,0)) +SUMIF(Physician_Minutes_Practice,November!B81,Physician_Minutes_November)/INDEX(Physician_Type_Visit_Minutes,MATCH(November!B81,Physician_Type_Practice,0))</f>
        <v>0</v>
      </c>
      <c r="D81" s="43">
        <f t="shared" si="9"/>
        <v>0</v>
      </c>
      <c r="E81" s="17">
        <f>INDEX(Physician_Type_Bed_Rate,MATCH(November!B81,Physician_Type_Practice,0))*'Hospital Input Page'!$C$4</f>
        <v>493.76912809766964</v>
      </c>
      <c r="F81" s="9">
        <f t="shared" si="7"/>
        <v>0</v>
      </c>
      <c r="H81" s="5">
        <f t="array" ref="H81">SUMIFS(Physician_Visit_November, Physician_Visit_Practice, November!B81, Independent_Contractor_Visits,  'Physician Types'!$D$81) + SUMIFS(Physician_Minutes_November,Physician_Minutes_Practice,November!B81, Independent_Contractor_Minutes, 'Physician Types'!$D$81)/INDEX(Physician_Type_Visit_Minutes,MATCH(November!B81,Physician_Type_Practice,0))</f>
        <v>0</v>
      </c>
      <c r="I81" s="43">
        <f t="shared" si="10"/>
        <v>0</v>
      </c>
      <c r="J81" s="10">
        <f>E81*'Physician Types'!$E$4</f>
        <v>14.813073842930088</v>
      </c>
      <c r="K81" s="10">
        <f t="shared" si="8"/>
        <v>0</v>
      </c>
    </row>
    <row r="82" spans="1:11" x14ac:dyDescent="0.2">
      <c r="A82" s="158">
        <v>8</v>
      </c>
      <c r="B82" s="128" t="s">
        <v>139</v>
      </c>
      <c r="C82" s="5">
        <f>SUMIFS(Physician_Visit_November,Physician_Visit_Practice,November!B82,Physician_Visit_Hospitalists, "&lt;&gt;"&amp;'Physician Types'!$D$81)+SUMIFS(Physician_Visit_November,Physician_Visit_Practice,November!B82,Physician_Visit_Hospitalists,'Physician Types'!$D$81)*INDEX(Physician_Type_Hospitalists_Visit_Minutes,MATCH(November!B82,Physician_Type_Practice,0))/INDEX(Physician_Type_Visit_Minutes,MATCH(November!B82,Physician_Type_Practice,0)) +SUMIF(Physician_Minutes_Practice,November!B82,Physician_Minutes_November)/INDEX(Physician_Type_Visit_Minutes,MATCH(November!B82,Physician_Type_Practice,0))</f>
        <v>0</v>
      </c>
      <c r="D82" s="43">
        <f t="shared" si="9"/>
        <v>0</v>
      </c>
      <c r="E82" s="17">
        <f>INDEX(Physician_Type_Bed_Rate,MATCH(November!B82,Physician_Type_Practice,0))*'Hospital Input Page'!$C$4</f>
        <v>8509.2229189954141</v>
      </c>
      <c r="F82" s="9">
        <f t="shared" si="7"/>
        <v>0</v>
      </c>
      <c r="H82" s="5">
        <f t="array" ref="H82">SUMIFS(Physician_Visit_November, Physician_Visit_Practice, November!B82, Independent_Contractor_Visits,  'Physician Types'!$D$81) + SUMIFS(Physician_Minutes_November,Physician_Minutes_Practice,November!B82, Independent_Contractor_Minutes, 'Physician Types'!$D$81)/INDEX(Physician_Type_Visit_Minutes,MATCH(November!B82,Physician_Type_Practice,0))</f>
        <v>0</v>
      </c>
      <c r="I82" s="43">
        <f t="shared" si="10"/>
        <v>0</v>
      </c>
      <c r="J82" s="10">
        <f>E82*'Physician Types'!$E$4</f>
        <v>255.27668756986242</v>
      </c>
      <c r="K82" s="10">
        <f t="shared" si="8"/>
        <v>0</v>
      </c>
    </row>
    <row r="83" spans="1:11" x14ac:dyDescent="0.2">
      <c r="A83" s="158">
        <v>8</v>
      </c>
      <c r="B83" s="102" t="s">
        <v>78</v>
      </c>
      <c r="C83" s="5">
        <f>SUMIFS(Physician_Visit_November,Physician_Visit_Practice,November!B83,Physician_Visit_Hospitalists, "&lt;&gt;"&amp;'Physician Types'!$D$81)+SUMIFS(Physician_Visit_November,Physician_Visit_Practice,November!B83,Physician_Visit_Hospitalists,'Physician Types'!$D$81)*INDEX(Physician_Type_Hospitalists_Visit_Minutes,MATCH(November!B83,Physician_Type_Practice,0))/INDEX(Physician_Type_Visit_Minutes,MATCH(November!B83,Physician_Type_Practice,0)) +SUMIF(Physician_Minutes_Practice,November!B83,Physician_Minutes_November)/INDEX(Physician_Type_Visit_Minutes,MATCH(November!B83,Physician_Type_Practice,0))</f>
        <v>0</v>
      </c>
      <c r="D83" s="43">
        <f t="shared" si="9"/>
        <v>0</v>
      </c>
      <c r="E83" s="17">
        <f>INDEX(Physician_Type_Bed_Rate,MATCH(November!B83,Physician_Type_Practice,0))*'Hospital Input Page'!$C$4</f>
        <v>8509.2229189954141</v>
      </c>
      <c r="F83" s="9">
        <f t="shared" si="7"/>
        <v>0</v>
      </c>
      <c r="H83" s="5">
        <f t="array" ref="H83">SUMIFS(Physician_Visit_November, Physician_Visit_Practice, November!B83, Independent_Contractor_Visits,  'Physician Types'!$D$81) + SUMIFS(Physician_Minutes_November,Physician_Minutes_Practice,November!B83, Independent_Contractor_Minutes, 'Physician Types'!$D$81)/INDEX(Physician_Type_Visit_Minutes,MATCH(November!B83,Physician_Type_Practice,0))</f>
        <v>0</v>
      </c>
      <c r="I83" s="43">
        <f t="shared" si="10"/>
        <v>0</v>
      </c>
      <c r="J83" s="10">
        <f>E83*'Physician Types'!$E$4</f>
        <v>255.27668756986242</v>
      </c>
      <c r="K83" s="10">
        <f t="shared" si="8"/>
        <v>0</v>
      </c>
    </row>
    <row r="84" spans="1:11" x14ac:dyDescent="0.2">
      <c r="A84" s="158">
        <v>2</v>
      </c>
      <c r="B84" s="107" t="s">
        <v>47</v>
      </c>
      <c r="C84" s="5">
        <f>SUMIFS(Physician_Visit_November,Physician_Visit_Practice,November!B84,Physician_Visit_Hospitalists, "&lt;&gt;"&amp;'Physician Types'!$D$81)+SUMIFS(Physician_Visit_November,Physician_Visit_Practice,November!B84,Physician_Visit_Hospitalists,'Physician Types'!$D$81)*INDEX(Physician_Type_Hospitalists_Visit_Minutes,MATCH(November!B84,Physician_Type_Practice,0))/INDEX(Physician_Type_Visit_Minutes,MATCH(November!B84,Physician_Type_Practice,0)) +SUMIF(Physician_Minutes_Practice,November!B84,Physician_Minutes_November)/INDEX(Physician_Type_Visit_Minutes,MATCH(November!B84,Physician_Type_Practice,0))</f>
        <v>0</v>
      </c>
      <c r="D84" s="43">
        <f t="shared" si="9"/>
        <v>0</v>
      </c>
      <c r="E84" s="17">
        <f>INDEX(Physician_Type_Bed_Rate,MATCH(November!B84,Physician_Type_Practice,0))*'Hospital Input Page'!$C$4</f>
        <v>1727.2161200254454</v>
      </c>
      <c r="F84" s="9">
        <f t="shared" si="7"/>
        <v>0</v>
      </c>
      <c r="H84" s="5">
        <f t="array" ref="H84">SUMIFS(Physician_Visit_November, Physician_Visit_Practice, November!B84, Independent_Contractor_Visits,  'Physician Types'!$D$81) + SUMIFS(Physician_Minutes_November,Physician_Minutes_Practice,November!B84, Independent_Contractor_Minutes, 'Physician Types'!$D$81)/INDEX(Physician_Type_Visit_Minutes,MATCH(November!B84,Physician_Type_Practice,0))</f>
        <v>0</v>
      </c>
      <c r="I84" s="43">
        <f t="shared" si="10"/>
        <v>0</v>
      </c>
      <c r="J84" s="10">
        <f>E84*'Physician Types'!$E$4</f>
        <v>51.816483600763362</v>
      </c>
      <c r="K84" s="10">
        <f t="shared" si="8"/>
        <v>0</v>
      </c>
    </row>
    <row r="85" spans="1:11" x14ac:dyDescent="0.2">
      <c r="A85" s="158">
        <v>3</v>
      </c>
      <c r="B85" s="102" t="s">
        <v>56</v>
      </c>
      <c r="C85" s="5">
        <f>SUMIFS(Physician_Visit_November,Physician_Visit_Practice,November!B85,Physician_Visit_Hospitalists, "&lt;&gt;"&amp;'Physician Types'!$D$81)+SUMIFS(Physician_Visit_November,Physician_Visit_Practice,November!B85,Physician_Visit_Hospitalists,'Physician Types'!$D$81)*INDEX(Physician_Type_Hospitalists_Visit_Minutes,MATCH(November!B85,Physician_Type_Practice,0))/INDEX(Physician_Type_Visit_Minutes,MATCH(November!B85,Physician_Type_Practice,0)) +SUMIF(Physician_Minutes_Practice,November!B85,Physician_Minutes_November)/INDEX(Physician_Type_Visit_Minutes,MATCH(November!B85,Physician_Type_Practice,0))</f>
        <v>0</v>
      </c>
      <c r="D85" s="43">
        <f t="shared" si="9"/>
        <v>0</v>
      </c>
      <c r="E85" s="17">
        <f>INDEX(Physician_Type_Bed_Rate,MATCH(November!B85,Physician_Type_Practice,0))*'Hospital Input Page'!$C$4</f>
        <v>1842.3638613604746</v>
      </c>
      <c r="F85" s="9">
        <f t="shared" si="7"/>
        <v>0</v>
      </c>
      <c r="H85" s="5">
        <f t="array" ref="H85">SUMIFS(Physician_Visit_November, Physician_Visit_Practice, November!B85, Independent_Contractor_Visits,  'Physician Types'!$D$81) + SUMIFS(Physician_Minutes_November,Physician_Minutes_Practice,November!B85, Independent_Contractor_Minutes, 'Physician Types'!$D$81)/INDEX(Physician_Type_Visit_Minutes,MATCH(November!B85,Physician_Type_Practice,0))</f>
        <v>0</v>
      </c>
      <c r="I85" s="43">
        <f t="shared" si="10"/>
        <v>0</v>
      </c>
      <c r="J85" s="10">
        <f>E85*'Physician Types'!$E$4</f>
        <v>55.27091584081424</v>
      </c>
      <c r="K85" s="10">
        <f t="shared" si="8"/>
        <v>0</v>
      </c>
    </row>
    <row r="86" spans="1:11" x14ac:dyDescent="0.2">
      <c r="A86" s="158">
        <v>3</v>
      </c>
      <c r="B86" s="102" t="s">
        <v>57</v>
      </c>
      <c r="C86" s="5">
        <f>SUMIFS(Physician_Visit_November,Physician_Visit_Practice,November!B86,Physician_Visit_Hospitalists, "&lt;&gt;"&amp;'Physician Types'!$D$81)+SUMIFS(Physician_Visit_November,Physician_Visit_Practice,November!B86,Physician_Visit_Hospitalists,'Physician Types'!$D$81)*INDEX(Physician_Type_Hospitalists_Visit_Minutes,MATCH(November!B86,Physician_Type_Practice,0))/INDEX(Physician_Type_Visit_Minutes,MATCH(November!B86,Physician_Type_Practice,0)) +SUMIF(Physician_Minutes_Practice,November!B86,Physician_Minutes_November)/INDEX(Physician_Type_Visit_Minutes,MATCH(November!B86,Physician_Type_Practice,0))</f>
        <v>0</v>
      </c>
      <c r="D86" s="43">
        <f t="shared" si="9"/>
        <v>0</v>
      </c>
      <c r="E86" s="17">
        <f>INDEX(Physician_Type_Bed_Rate,MATCH(November!B86,Physician_Type_Practice,0))*'Hospital Input Page'!$C$4</f>
        <v>1165.1390097798767</v>
      </c>
      <c r="F86" s="9">
        <f t="shared" si="7"/>
        <v>0</v>
      </c>
      <c r="H86" s="5">
        <f t="array" ref="H86">SUMIFS(Physician_Visit_November, Physician_Visit_Practice, November!B86, Independent_Contractor_Visits,  'Physician Types'!$D$81) + SUMIFS(Physician_Minutes_November,Physician_Minutes_Practice,November!B86, Independent_Contractor_Minutes, 'Physician Types'!$D$81)/INDEX(Physician_Type_Visit_Minutes,MATCH(November!B86,Physician_Type_Practice,0))</f>
        <v>0</v>
      </c>
      <c r="I86" s="43">
        <f t="shared" si="10"/>
        <v>0</v>
      </c>
      <c r="J86" s="10">
        <f>E86*'Physician Types'!$E$4</f>
        <v>34.954170293396302</v>
      </c>
      <c r="K86" s="10">
        <f t="shared" si="8"/>
        <v>0</v>
      </c>
    </row>
    <row r="87" spans="1:11" x14ac:dyDescent="0.2">
      <c r="A87" s="158">
        <v>3</v>
      </c>
      <c r="B87" s="102" t="s">
        <v>58</v>
      </c>
      <c r="C87" s="5">
        <f>SUMIFS(Physician_Visit_November,Physician_Visit_Practice,November!B87,Physician_Visit_Hospitalists, "&lt;&gt;"&amp;'Physician Types'!$D$81)+SUMIFS(Physician_Visit_November,Physician_Visit_Practice,November!B87,Physician_Visit_Hospitalists,'Physician Types'!$D$81)*INDEX(Physician_Type_Hospitalists_Visit_Minutes,MATCH(November!B87,Physician_Type_Practice,0))/INDEX(Physician_Type_Visit_Minutes,MATCH(November!B87,Physician_Type_Practice,0)) +SUMIF(Physician_Minutes_Practice,November!B87,Physician_Minutes_November)/INDEX(Physician_Type_Visit_Minutes,MATCH(November!B87,Physician_Type_Practice,0))</f>
        <v>0</v>
      </c>
      <c r="D87" s="43">
        <f t="shared" si="9"/>
        <v>0</v>
      </c>
      <c r="E87" s="17">
        <f>INDEX(Physician_Type_Bed_Rate,MATCH(November!B87,Physician_Type_Practice,0))*'Hospital Input Page'!$C$4</f>
        <v>2406.3926282388406</v>
      </c>
      <c r="F87" s="9">
        <f t="shared" si="7"/>
        <v>0</v>
      </c>
      <c r="H87" s="5">
        <f t="array" ref="H87">SUMIFS(Physician_Visit_November, Physician_Visit_Practice, November!B87, Independent_Contractor_Visits,  'Physician Types'!$D$81) + SUMIFS(Physician_Minutes_November,Physician_Minutes_Practice,November!B87, Independent_Contractor_Minutes, 'Physician Types'!$D$81)/INDEX(Physician_Type_Visit_Minutes,MATCH(November!B87,Physician_Type_Practice,0))</f>
        <v>0</v>
      </c>
      <c r="I87" s="43">
        <f t="shared" si="10"/>
        <v>0</v>
      </c>
      <c r="J87" s="10">
        <f>E87*'Physician Types'!$E$4</f>
        <v>72.19177884716521</v>
      </c>
      <c r="K87" s="10">
        <f t="shared" si="8"/>
        <v>0</v>
      </c>
    </row>
    <row r="88" spans="1:11" x14ac:dyDescent="0.2">
      <c r="A88" s="158">
        <v>7</v>
      </c>
      <c r="B88" s="102" t="s">
        <v>73</v>
      </c>
      <c r="C88" s="5">
        <f>SUMIFS(Physician_Visit_November,Physician_Visit_Practice,November!B88,Physician_Visit_Hospitalists, "&lt;&gt;"&amp;'Physician Types'!$D$81)+SUMIFS(Physician_Visit_November,Physician_Visit_Practice,November!B88,Physician_Visit_Hospitalists,'Physician Types'!$D$81)*INDEX(Physician_Type_Hospitalists_Visit_Minutes,MATCH(November!B88,Physician_Type_Practice,0))/INDEX(Physician_Type_Visit_Minutes,MATCH(November!B88,Physician_Type_Practice,0)) +SUMIF(Physician_Minutes_Practice,November!B88,Physician_Minutes_November)/INDEX(Physician_Type_Visit_Minutes,MATCH(November!B88,Physician_Type_Practice,0))</f>
        <v>0</v>
      </c>
      <c r="D88" s="43">
        <f t="shared" si="9"/>
        <v>0</v>
      </c>
      <c r="E88" s="17">
        <f>INDEX(Physician_Type_Bed_Rate,MATCH(November!B88,Physician_Type_Practice,0))*'Hospital Input Page'!$C$4</f>
        <v>7172.3381255293916</v>
      </c>
      <c r="F88" s="9">
        <f t="shared" si="7"/>
        <v>0</v>
      </c>
      <c r="H88" s="5">
        <f t="array" ref="H88">SUMIFS(Physician_Visit_November, Physician_Visit_Practice, November!B88, Independent_Contractor_Visits,  'Physician Types'!$D$81) + SUMIFS(Physician_Minutes_November,Physician_Minutes_Practice,November!B88, Independent_Contractor_Minutes, 'Physician Types'!$D$81)/INDEX(Physician_Type_Visit_Minutes,MATCH(November!B88,Physician_Type_Practice,0))</f>
        <v>0</v>
      </c>
      <c r="I88" s="43">
        <f t="shared" si="10"/>
        <v>0</v>
      </c>
      <c r="J88" s="10">
        <f>E88*'Physician Types'!$E$4</f>
        <v>215.17014376588173</v>
      </c>
      <c r="K88" s="10">
        <f t="shared" si="8"/>
        <v>0</v>
      </c>
    </row>
    <row r="89" spans="1:11" x14ac:dyDescent="0.2">
      <c r="A89" s="158">
        <v>7</v>
      </c>
      <c r="B89" s="128" t="s">
        <v>74</v>
      </c>
      <c r="C89" s="5">
        <f>SUMIFS(Physician_Visit_November,Physician_Visit_Practice,November!B89,Physician_Visit_Hospitalists, "&lt;&gt;"&amp;'Physician Types'!$D$81)+SUMIFS(Physician_Visit_November,Physician_Visit_Practice,November!B89,Physician_Visit_Hospitalists,'Physician Types'!$D$81)*INDEX(Physician_Type_Hospitalists_Visit_Minutes,MATCH(November!B89,Physician_Type_Practice,0))/INDEX(Physician_Type_Visit_Minutes,MATCH(November!B89,Physician_Type_Practice,0)) +SUMIF(Physician_Minutes_Practice,November!B89,Physician_Minutes_November)/INDEX(Physician_Type_Visit_Minutes,MATCH(November!B89,Physician_Type_Practice,0))</f>
        <v>0</v>
      </c>
      <c r="D89" s="43">
        <f t="shared" si="9"/>
        <v>0</v>
      </c>
      <c r="E89" s="17">
        <f>INDEX(Physician_Type_Bed_Rate,MATCH(November!B89,Physician_Type_Practice,0))*'Hospital Input Page'!$C$4</f>
        <v>4073.1073926475756</v>
      </c>
      <c r="F89" s="9">
        <f t="shared" si="7"/>
        <v>0</v>
      </c>
      <c r="H89" s="5">
        <f t="array" ref="H89">SUMIFS(Physician_Visit_November, Physician_Visit_Practice, November!B89, Independent_Contractor_Visits,  'Physician Types'!$D$81) + SUMIFS(Physician_Minutes_November,Physician_Minutes_Practice,November!B89, Independent_Contractor_Minutes, 'Physician Types'!$D$81)/INDEX(Physician_Type_Visit_Minutes,MATCH(November!B89,Physician_Type_Practice,0))</f>
        <v>0</v>
      </c>
      <c r="I89" s="43">
        <f t="shared" si="10"/>
        <v>0</v>
      </c>
      <c r="J89" s="10">
        <f>E89*'Physician Types'!$E$4</f>
        <v>122.19322177942726</v>
      </c>
      <c r="K89" s="10">
        <f t="shared" si="8"/>
        <v>0</v>
      </c>
    </row>
    <row r="90" spans="1:11" x14ac:dyDescent="0.2">
      <c r="A90" s="158">
        <v>4</v>
      </c>
      <c r="B90" s="128" t="s">
        <v>146</v>
      </c>
      <c r="C90" s="5">
        <f>SUMIFS(Physician_Visit_November,Physician_Visit_Practice,November!B90,Physician_Visit_Hospitalists, "&lt;&gt;"&amp;'Physician Types'!$D$81)+SUMIFS(Physician_Visit_November,Physician_Visit_Practice,November!B90,Physician_Visit_Hospitalists,'Physician Types'!$D$81)*INDEX(Physician_Type_Hospitalists_Visit_Minutes,MATCH(November!B90,Physician_Type_Practice,0))/INDEX(Physician_Type_Visit_Minutes,MATCH(November!B90,Physician_Type_Practice,0)) +SUMIF(Physician_Minutes_Practice,November!B90,Physician_Minutes_November)/INDEX(Physician_Type_Visit_Minutes,MATCH(November!B90,Physician_Type_Practice,0))</f>
        <v>0</v>
      </c>
      <c r="D90" s="43">
        <f t="shared" si="9"/>
        <v>0</v>
      </c>
      <c r="E90" s="17">
        <f>INDEX(Physician_Type_Bed_Rate,MATCH(November!B90,Physician_Type_Practice,0))*'Hospital Input Page'!$C$4</f>
        <v>2997.7445879763663</v>
      </c>
      <c r="F90" s="9">
        <f t="shared" si="7"/>
        <v>0</v>
      </c>
      <c r="H90" s="5">
        <f t="array" ref="H90">SUMIFS(Physician_Visit_November, Physician_Visit_Practice, November!B90, Independent_Contractor_Visits,  'Physician Types'!$D$81) + SUMIFS(Physician_Minutes_November,Physician_Minutes_Practice,November!B90, Independent_Contractor_Minutes, 'Physician Types'!$D$81)/INDEX(Physician_Type_Visit_Minutes,MATCH(November!B90,Physician_Type_Practice,0))</f>
        <v>0</v>
      </c>
      <c r="I90" s="43">
        <f t="shared" si="10"/>
        <v>0</v>
      </c>
      <c r="J90" s="10">
        <f>E90*'Physician Types'!$E$4</f>
        <v>89.932337639290992</v>
      </c>
      <c r="K90" s="10">
        <f t="shared" si="8"/>
        <v>0</v>
      </c>
    </row>
    <row r="91" spans="1:11" x14ac:dyDescent="0.2">
      <c r="A91" s="158">
        <v>6</v>
      </c>
      <c r="B91" s="128" t="s">
        <v>71</v>
      </c>
      <c r="C91" s="5">
        <f>SUMIFS(Physician_Visit_November,Physician_Visit_Practice,November!B91,Physician_Visit_Hospitalists, "&lt;&gt;"&amp;'Physician Types'!$D$81)+SUMIFS(Physician_Visit_November,Physician_Visit_Practice,November!B91,Physician_Visit_Hospitalists,'Physician Types'!$D$81)*INDEX(Physician_Type_Hospitalists_Visit_Minutes,MATCH(November!B91,Physician_Type_Practice,0))/INDEX(Physician_Type_Visit_Minutes,MATCH(November!B91,Physician_Type_Practice,0)) +SUMIF(Physician_Minutes_Practice,November!B91,Physician_Minutes_November)/INDEX(Physician_Type_Visit_Minutes,MATCH(November!B91,Physician_Type_Practice,0))</f>
        <v>0</v>
      </c>
      <c r="D91" s="43">
        <f t="shared" si="9"/>
        <v>0</v>
      </c>
      <c r="E91" s="17">
        <f>INDEX(Physician_Type_Bed_Rate,MATCH(November!B91,Physician_Type_Practice,0))*'Hospital Input Page'!$C$4</f>
        <v>4912.3197447503335</v>
      </c>
      <c r="F91" s="9">
        <f t="shared" si="7"/>
        <v>0</v>
      </c>
      <c r="H91" s="5">
        <f t="array" ref="H91">SUMIFS(Physician_Visit_November, Physician_Visit_Practice, November!B91, Independent_Contractor_Visits,  'Physician Types'!$D$81) + SUMIFS(Physician_Minutes_November,Physician_Minutes_Practice,November!B91, Independent_Contractor_Minutes, 'Physician Types'!$D$81)/INDEX(Physician_Type_Visit_Minutes,MATCH(November!B91,Physician_Type_Practice,0))</f>
        <v>0</v>
      </c>
      <c r="I91" s="43">
        <f t="shared" si="10"/>
        <v>0</v>
      </c>
      <c r="J91" s="10">
        <f>E91*'Physician Types'!$E$4</f>
        <v>147.36959234251</v>
      </c>
      <c r="K91" s="10">
        <f t="shared" si="8"/>
        <v>0</v>
      </c>
    </row>
    <row r="92" spans="1:11" x14ac:dyDescent="0.2">
      <c r="A92" s="158">
        <v>4</v>
      </c>
      <c r="B92" s="128" t="s">
        <v>152</v>
      </c>
      <c r="C92" s="5">
        <f>SUMIFS(Physician_Visit_November,Physician_Visit_Practice,November!B92,Physician_Visit_Hospitalists, "&lt;&gt;"&amp;'Physician Types'!$D$81)+SUMIFS(Physician_Visit_November,Physician_Visit_Practice,November!B92,Physician_Visit_Hospitalists,'Physician Types'!$D$81)*INDEX(Physician_Type_Hospitalists_Visit_Minutes,MATCH(November!B92,Physician_Type_Practice,0))/INDEX(Physician_Type_Visit_Minutes,MATCH(November!B92,Physician_Type_Practice,0)) +SUMIF(Physician_Minutes_Practice,November!B92,Physician_Minutes_November)/INDEX(Physician_Type_Visit_Minutes,MATCH(November!B92,Physician_Type_Practice,0))</f>
        <v>0</v>
      </c>
      <c r="D92" s="43">
        <f t="shared" si="9"/>
        <v>0</v>
      </c>
      <c r="E92" s="17">
        <f>IFERROR(INDEX(Physician_Type_Bed_Rate,MATCH(November!B92,Physician_Type_Practice,0))*'Hospital Input Page'!$C$4,0)</f>
        <v>2664.0113037680594</v>
      </c>
      <c r="F92" s="9">
        <f t="shared" si="7"/>
        <v>0</v>
      </c>
      <c r="H92" s="5">
        <f t="array" ref="H92">SUMIFS(Physician_Visit_November, Physician_Visit_Practice, November!B92, Independent_Contractor_Visits,  'Physician Types'!$D$81) + SUMIFS(Physician_Minutes_November,Physician_Minutes_Practice,November!B92, Independent_Contractor_Minutes, 'Physician Types'!$D$81)/INDEX(Physician_Type_Visit_Minutes,MATCH(November!B92,Physician_Type_Practice,0))</f>
        <v>0</v>
      </c>
      <c r="I92" s="43">
        <f t="shared" si="10"/>
        <v>0</v>
      </c>
      <c r="J92" s="10">
        <f>E92*'Physician Types'!$E$4</f>
        <v>79.920339113041777</v>
      </c>
      <c r="K92" s="10">
        <f t="shared" si="8"/>
        <v>0</v>
      </c>
    </row>
    <row r="93" spans="1:11" x14ac:dyDescent="0.2">
      <c r="A93" s="158">
        <v>1</v>
      </c>
      <c r="B93" s="107" t="s">
        <v>30</v>
      </c>
      <c r="C93" s="5">
        <f>SUMIFS(Physician_Visit_November,Physician_Visit_Practice,November!B93,Physician_Visit_Hospitalists, "&lt;&gt;"&amp;'Physician Types'!$D$81)+SUMIFS(Physician_Visit_November,Physician_Visit_Practice,November!B93,Physician_Visit_Hospitalists,'Physician Types'!$D$81)*INDEX(Physician_Type_Hospitalists_Visit_Minutes,MATCH(November!B93,Physician_Type_Practice,0))/INDEX(Physician_Type_Visit_Minutes,MATCH(November!B93,Physician_Type_Practice,0)) +SUMIF(Physician_Minutes_Practice,November!B93,Physician_Minutes_November)/INDEX(Physician_Type_Visit_Minutes,MATCH(November!B93,Physician_Type_Practice,0))</f>
        <v>0</v>
      </c>
      <c r="D93" s="43">
        <f t="shared" si="9"/>
        <v>0</v>
      </c>
      <c r="E93" s="17">
        <f>INDEX(Physician_Type_Bed_Rate,MATCH(November!B93,Physician_Type_Practice,0))*'Hospital Input Page'!$C$4</f>
        <v>2544.9602491674359</v>
      </c>
      <c r="F93" s="9">
        <f t="shared" si="7"/>
        <v>0</v>
      </c>
      <c r="H93" s="5">
        <f t="array" ref="H93">SUMIFS(Physician_Visit_November, Physician_Visit_Practice, November!B93, Independent_Contractor_Visits,  'Physician Types'!$D$81) + SUMIFS(Physician_Minutes_November,Physician_Minutes_Practice,November!B93, Independent_Contractor_Minutes, 'Physician Types'!$D$81)/INDEX(Physician_Type_Visit_Minutes,MATCH(November!B93,Physician_Type_Practice,0))</f>
        <v>0</v>
      </c>
      <c r="I93" s="43">
        <f t="shared" si="10"/>
        <v>0</v>
      </c>
      <c r="J93" s="10">
        <f>E93*'Physician Types'!$E$4</f>
        <v>76.348807475023079</v>
      </c>
      <c r="K93" s="10">
        <f t="shared" si="8"/>
        <v>0</v>
      </c>
    </row>
    <row r="94" spans="1:11" x14ac:dyDescent="0.2">
      <c r="A94" s="158">
        <v>1</v>
      </c>
      <c r="B94" s="107" t="s">
        <v>31</v>
      </c>
      <c r="C94" s="5">
        <f>SUMIFS(Physician_Visit_November,Physician_Visit_Practice,November!B94,Physician_Visit_Hospitalists, "&lt;&gt;"&amp;'Physician Types'!$D$81)+SUMIFS(Physician_Visit_November,Physician_Visit_Practice,November!B94,Physician_Visit_Hospitalists,'Physician Types'!$D$81)*INDEX(Physician_Type_Hospitalists_Visit_Minutes,MATCH(November!B94,Physician_Type_Practice,0))/INDEX(Physician_Type_Visit_Minutes,MATCH(November!B94,Physician_Type_Practice,0)) +SUMIF(Physician_Minutes_Practice,November!B94,Physician_Minutes_November)/INDEX(Physician_Type_Visit_Minutes,MATCH(November!B94,Physician_Type_Practice,0))</f>
        <v>0</v>
      </c>
      <c r="D94" s="43">
        <f t="shared" si="9"/>
        <v>0</v>
      </c>
      <c r="E94" s="17">
        <f>INDEX(Physician_Type_Bed_Rate,MATCH(November!B94,Physician_Type_Practice,0))*'Hospital Input Page'!$C$4</f>
        <v>1258.818528154138</v>
      </c>
      <c r="F94" s="9">
        <f t="shared" si="7"/>
        <v>0</v>
      </c>
      <c r="H94" s="5">
        <f t="array" ref="H94">SUMIFS(Physician_Visit_November, Physician_Visit_Practice, November!B94, Independent_Contractor_Visits,  'Physician Types'!$D$81) + SUMIFS(Physician_Minutes_November,Physician_Minutes_Practice,November!B94, Independent_Contractor_Minutes, 'Physician Types'!$D$81)/INDEX(Physician_Type_Visit_Minutes,MATCH(November!B94,Physician_Type_Practice,0))</f>
        <v>0</v>
      </c>
      <c r="I94" s="43">
        <f t="shared" si="10"/>
        <v>0</v>
      </c>
      <c r="J94" s="10">
        <f>E94*'Physician Types'!$E$4</f>
        <v>37.764555844624141</v>
      </c>
      <c r="K94" s="10">
        <f t="shared" si="8"/>
        <v>0</v>
      </c>
    </row>
    <row r="95" spans="1:11" x14ac:dyDescent="0.2">
      <c r="A95" s="158">
        <v>2</v>
      </c>
      <c r="B95" s="107" t="s">
        <v>48</v>
      </c>
      <c r="C95" s="5">
        <f>SUMIFS(Physician_Visit_November,Physician_Visit_Practice,November!B95,Physician_Visit_Hospitalists, "&lt;&gt;"&amp;'Physician Types'!$D$81)+SUMIFS(Physician_Visit_November,Physician_Visit_Practice,November!B95,Physician_Visit_Hospitalists,'Physician Types'!$D$81)*INDEX(Physician_Type_Hospitalists_Visit_Minutes,MATCH(November!B95,Physician_Type_Practice,0))/INDEX(Physician_Type_Visit_Minutes,MATCH(November!B95,Physician_Type_Practice,0)) +SUMIF(Physician_Minutes_Practice,November!B95,Physician_Minutes_November)/INDEX(Physician_Type_Visit_Minutes,MATCH(November!B95,Physician_Type_Practice,0))</f>
        <v>0</v>
      </c>
      <c r="D95" s="43">
        <f t="shared" ref="D95" si="11">C95*INDEX(Physician_Type_Visit_Minutes,MATCH(B95,Physician_Type_Practice,0))/INDEX(Physician_Type_FTE_Minutes,MATCH(B95,Physician_Type_Practice,0))</f>
        <v>0</v>
      </c>
      <c r="E95" s="17">
        <f>INDEX(Physician_Type_Bed_Rate,MATCH(November!B95,Physician_Type_Practice,0))*'Hospital Input Page'!$C$4</f>
        <v>2336.1329894581445</v>
      </c>
      <c r="F95" s="9">
        <f t="shared" ref="F95" si="12">D95*E95</f>
        <v>0</v>
      </c>
      <c r="H95" s="5">
        <f t="array" ref="H95">SUMIFS(Physician_Visit_November, Physician_Visit_Practice, November!B95, Independent_Contractor_Visits,  'Physician Types'!$D$81) + SUMIFS(Physician_Minutes_November,Physician_Minutes_Practice,November!B95, Independent_Contractor_Minutes, 'Physician Types'!$D$81)/INDEX(Physician_Type_Visit_Minutes,MATCH(November!B95,Physician_Type_Practice,0))</f>
        <v>0</v>
      </c>
      <c r="I95" s="43">
        <f t="shared" ref="I95" si="13">H95*INDEX(Physician_Type_Visit_Minutes,MATCH(B95,Physician_Type_Practice,0))/INDEX(Physician_Type_FTE_Minutes,MATCH(B95,Physician_Type_Practice,0))</f>
        <v>0</v>
      </c>
      <c r="J95" s="10">
        <f>E95*'Physician Types'!$E$4</f>
        <v>70.083989683744335</v>
      </c>
      <c r="K95" s="10">
        <f t="shared" ref="K95" si="14">I95*J95</f>
        <v>0</v>
      </c>
    </row>
    <row r="96" spans="1:11" x14ac:dyDescent="0.2">
      <c r="A96" s="158">
        <v>2</v>
      </c>
      <c r="B96" s="107" t="s">
        <v>49</v>
      </c>
      <c r="C96" s="5">
        <f>SUMIFS(Physician_Visit_November,Physician_Visit_Practice,November!B96,Physician_Visit_Hospitalists, "&lt;&gt;"&amp;'Physician Types'!$D$81)+SUMIFS(Physician_Visit_November,Physician_Visit_Practice,November!B96,Physician_Visit_Hospitalists,'Physician Types'!$D$81)*INDEX(Physician_Type_Hospitalists_Visit_Minutes,MATCH(November!B96,Physician_Type_Practice,0))/INDEX(Physician_Type_Visit_Minutes,MATCH(November!B96,Physician_Type_Practice,0)) +SUMIF(Physician_Minutes_Practice,November!B96,Physician_Minutes_November)/INDEX(Physician_Type_Visit_Minutes,MATCH(November!B96,Physician_Type_Practice,0))</f>
        <v>0</v>
      </c>
      <c r="D96" s="43">
        <f t="shared" si="9"/>
        <v>0</v>
      </c>
      <c r="E96" s="17">
        <f>INDEX(Physician_Type_Bed_Rate,MATCH(November!B96,Physician_Type_Practice,0))*'Hospital Input Page'!$C$4</f>
        <v>1727.2161200254454</v>
      </c>
      <c r="F96" s="9">
        <f t="shared" si="7"/>
        <v>0</v>
      </c>
      <c r="H96" s="5">
        <f t="array" ref="H96">SUMIFS(Physician_Visit_November, Physician_Visit_Practice, November!B96, Independent_Contractor_Visits,  'Physician Types'!$D$81) + SUMIFS(Physician_Minutes_November,Physician_Minutes_Practice,November!B96, Independent_Contractor_Minutes, 'Physician Types'!$D$81)/INDEX(Physician_Type_Visit_Minutes,MATCH(November!B96,Physician_Type_Practice,0))</f>
        <v>0</v>
      </c>
      <c r="I96" s="43">
        <f t="shared" si="10"/>
        <v>0</v>
      </c>
      <c r="J96" s="10">
        <f>E96*'Physician Types'!$E$4</f>
        <v>51.816483600763362</v>
      </c>
      <c r="K96" s="10">
        <f t="shared" si="8"/>
        <v>0</v>
      </c>
    </row>
    <row r="97" spans="1:11" x14ac:dyDescent="0.2">
      <c r="A97" s="158">
        <v>1</v>
      </c>
      <c r="B97" s="107" t="s">
        <v>32</v>
      </c>
      <c r="C97" s="5">
        <f>SUMIFS(Physician_Visit_November,Physician_Visit_Practice,November!B97,Physician_Visit_Hospitalists, "&lt;&gt;"&amp;'Physician Types'!$D$81)+SUMIFS(Physician_Visit_November,Physician_Visit_Practice,November!B97,Physician_Visit_Hospitalists,'Physician Types'!$D$81)*INDEX(Physician_Type_Hospitalists_Visit_Minutes,MATCH(November!B97,Physician_Type_Practice,0))/INDEX(Physician_Type_Visit_Minutes,MATCH(November!B97,Physician_Type_Practice,0)) +SUMIF(Physician_Minutes_Practice,November!B97,Physician_Minutes_November)/INDEX(Physician_Type_Visit_Minutes,MATCH(November!B97,Physician_Type_Practice,0))</f>
        <v>0</v>
      </c>
      <c r="D97" s="43">
        <f t="shared" si="9"/>
        <v>0</v>
      </c>
      <c r="E97" s="17">
        <f>INDEX(Physician_Type_Bed_Rate,MATCH(November!B97,Physician_Type_Practice,0))*'Hospital Input Page'!$C$4</f>
        <v>1297.8516608100804</v>
      </c>
      <c r="F97" s="9">
        <f t="shared" si="7"/>
        <v>0</v>
      </c>
      <c r="H97" s="5">
        <f t="array" ref="H97">SUMIFS(Physician_Visit_November, Physician_Visit_Practice, November!B97, Independent_Contractor_Visits,  'Physician Types'!$D$81) + SUMIFS(Physician_Minutes_November,Physician_Minutes_Practice,November!B97, Independent_Contractor_Minutes, 'Physician Types'!$D$81)/INDEX(Physician_Type_Visit_Minutes,MATCH(November!B97,Physician_Type_Practice,0))</f>
        <v>0</v>
      </c>
      <c r="I97" s="43">
        <f t="shared" si="10"/>
        <v>0</v>
      </c>
      <c r="J97" s="10">
        <f>E97*'Physician Types'!$E$4</f>
        <v>38.935549824302413</v>
      </c>
      <c r="K97" s="10">
        <f t="shared" si="8"/>
        <v>0</v>
      </c>
    </row>
    <row r="98" spans="1:11" x14ac:dyDescent="0.2">
      <c r="A98" s="158"/>
      <c r="B98" s="102" t="s">
        <v>20</v>
      </c>
      <c r="C98" s="5">
        <f>SUMIFS(Physician_Visit_November,Physician_Visit_Practice,November!B98,Physician_Visit_Hospitalists, "&lt;&gt;"&amp;'Physician Types'!$D$81)+SUMIFS(Physician_Visit_November,Physician_Visit_Practice,November!B98,Physician_Visit_Hospitalists,'Physician Types'!$D$81)*INDEX(Physician_Type_Hospitalists_Visit_Minutes,MATCH(November!B98,Physician_Type_Practice,0))/INDEX(Physician_Type_Visit_Minutes,MATCH(November!B98,Physician_Type_Practice,0)) +SUMIF(Physician_Minutes_Practice,November!B98,Physician_Minutes_November)/INDEX(Physician_Type_Visit_Minutes,MATCH(November!B98,Physician_Type_Practice,0))</f>
        <v>398</v>
      </c>
      <c r="D98" s="43">
        <f t="shared" si="9"/>
        <v>0.76539933460258847</v>
      </c>
      <c r="E98" s="17">
        <f>INDEX(Physician_Type_Bed_Rate,MATCH(November!B98,Physician_Type_Practice,0))*'Hospital Input Page'!$C$4</f>
        <v>493.76912809766964</v>
      </c>
      <c r="F98" s="9">
        <f t="shared" si="7"/>
        <v>377.93056209325658</v>
      </c>
      <c r="H98" s="5">
        <f t="array" ref="H98">SUMIFS(Physician_Visit_November, Physician_Visit_Practice, November!B98, Independent_Contractor_Visits,  'Physician Types'!$D$81) + SUMIFS(Physician_Minutes_November,Physician_Minutes_Practice,November!B98, Independent_Contractor_Minutes, 'Physician Types'!$D$81)/INDEX(Physician_Type_Visit_Minutes,MATCH(November!B98,Physician_Type_Practice,0))</f>
        <v>0</v>
      </c>
      <c r="I98" s="43">
        <f t="shared" si="10"/>
        <v>0</v>
      </c>
      <c r="J98" s="10">
        <f>E98*'Physician Types'!$E$4</f>
        <v>14.813073842930088</v>
      </c>
      <c r="K98" s="10">
        <f t="shared" si="8"/>
        <v>0</v>
      </c>
    </row>
    <row r="99" spans="1:11" x14ac:dyDescent="0.2">
      <c r="A99" s="158">
        <v>1</v>
      </c>
      <c r="B99" s="107" t="s">
        <v>33</v>
      </c>
      <c r="C99" s="5">
        <f>SUMIFS(Physician_Visit_November,Physician_Visit_Practice,November!B99,Physician_Visit_Hospitalists, "&lt;&gt;"&amp;'Physician Types'!$D$81)+SUMIFS(Physician_Visit_November,Physician_Visit_Practice,November!B99,Physician_Visit_Hospitalists,'Physician Types'!$D$81)*INDEX(Physician_Type_Hospitalists_Visit_Minutes,MATCH(November!B99,Physician_Type_Practice,0))/INDEX(Physician_Type_Visit_Minutes,MATCH(November!B99,Physician_Type_Practice,0)) +SUMIF(Physician_Minutes_Practice,November!B99,Physician_Minutes_November)/INDEX(Physician_Type_Visit_Minutes,MATCH(November!B99,Physician_Type_Practice,0))</f>
        <v>0</v>
      </c>
      <c r="D99" s="43">
        <f t="shared" si="9"/>
        <v>0</v>
      </c>
      <c r="E99" s="17">
        <f>INDEX(Physician_Type_Bed_Rate,MATCH(November!B99,Physician_Type_Practice,0))*'Hospital Input Page'!$C$4</f>
        <v>1268.5768113181236</v>
      </c>
      <c r="F99" s="9">
        <f t="shared" si="7"/>
        <v>0</v>
      </c>
      <c r="H99" s="5">
        <f t="array" ref="H99">SUMIFS(Physician_Visit_November, Physician_Visit_Practice, November!B99, Independent_Contractor_Visits,  'Physician Types'!$D$81) + SUMIFS(Physician_Minutes_November,Physician_Minutes_Practice,November!B99, Independent_Contractor_Minutes, 'Physician Types'!$D$81)/INDEX(Physician_Type_Visit_Minutes,MATCH(November!B99,Physician_Type_Practice,0))</f>
        <v>0</v>
      </c>
      <c r="I99" s="43">
        <f t="shared" si="10"/>
        <v>0</v>
      </c>
      <c r="J99" s="10">
        <f>E99*'Physician Types'!$E$4</f>
        <v>38.057304339543705</v>
      </c>
      <c r="K99" s="10">
        <f t="shared" si="8"/>
        <v>0</v>
      </c>
    </row>
    <row r="100" spans="1:11" x14ac:dyDescent="0.2">
      <c r="A100" s="158">
        <v>2</v>
      </c>
      <c r="B100" s="107" t="s">
        <v>50</v>
      </c>
      <c r="C100" s="5">
        <f>SUMIFS(Physician_Visit_November,Physician_Visit_Practice,November!B100,Physician_Visit_Hospitalists, "&lt;&gt;"&amp;'Physician Types'!$D$81)+SUMIFS(Physician_Visit_November,Physician_Visit_Practice,November!B100,Physician_Visit_Hospitalists,'Physician Types'!$D$81)*INDEX(Physician_Type_Hospitalists_Visit_Minutes,MATCH(November!B100,Physician_Type_Practice,0))/INDEX(Physician_Type_Visit_Minutes,MATCH(November!B100,Physician_Type_Practice,0)) +SUMIF(Physician_Minutes_Practice,November!B100,Physician_Minutes_November)/INDEX(Physician_Type_Visit_Minutes,MATCH(November!B100,Physician_Type_Practice,0))</f>
        <v>0</v>
      </c>
      <c r="D100" s="43">
        <f t="shared" si="9"/>
        <v>0</v>
      </c>
      <c r="E100" s="17">
        <f>INDEX(Physician_Type_Bed_Rate,MATCH(November!B100,Physician_Type_Practice,0))*'Hospital Input Page'!$C$4</f>
        <v>2529.3469961050587</v>
      </c>
      <c r="F100" s="9">
        <f t="shared" si="7"/>
        <v>0</v>
      </c>
      <c r="H100" s="5">
        <f t="array" ref="H100">SUMIFS(Physician_Visit_November, Physician_Visit_Practice, November!B100, Independent_Contractor_Visits,  'Physician Types'!$D$81) + SUMIFS(Physician_Minutes_November,Physician_Minutes_Practice,November!B100, Independent_Contractor_Minutes, 'Physician Types'!$D$81)/INDEX(Physician_Type_Visit_Minutes,MATCH(November!B100,Physician_Type_Practice,0))</f>
        <v>0</v>
      </c>
      <c r="I100" s="43">
        <f t="shared" si="10"/>
        <v>0</v>
      </c>
      <c r="J100" s="10">
        <f>E100*'Physician Types'!$E$4</f>
        <v>75.880409883151756</v>
      </c>
      <c r="K100" s="10">
        <f t="shared" si="8"/>
        <v>0</v>
      </c>
    </row>
    <row r="101" spans="1:11" x14ac:dyDescent="0.2">
      <c r="A101" s="158">
        <v>2</v>
      </c>
      <c r="B101" s="107" t="s">
        <v>51</v>
      </c>
      <c r="C101" s="5">
        <f>SUMIFS(Physician_Visit_November,Physician_Visit_Practice,November!B101,Physician_Visit_Hospitalists, "&lt;&gt;"&amp;'Physician Types'!$D$81)+SUMIFS(Physician_Visit_November,Physician_Visit_Practice,November!B101,Physician_Visit_Hospitalists,'Physician Types'!$D$81)*INDEX(Physician_Type_Hospitalists_Visit_Minutes,MATCH(November!B101,Physician_Type_Practice,0))/INDEX(Physician_Type_Visit_Minutes,MATCH(November!B101,Physician_Type_Practice,0)) +SUMIF(Physician_Minutes_Practice,November!B101,Physician_Minutes_November)/INDEX(Physician_Type_Visit_Minutes,MATCH(November!B101,Physician_Type_Practice,0))</f>
        <v>0</v>
      </c>
      <c r="D101" s="43">
        <f t="shared" si="9"/>
        <v>0</v>
      </c>
      <c r="E101" s="17">
        <f>INDEX(Physician_Type_Bed_Rate,MATCH(November!B101,Physician_Type_Practice,0))*'Hospital Input Page'!$C$4</f>
        <v>1887.2519639148086</v>
      </c>
      <c r="F101" s="9">
        <f t="shared" si="7"/>
        <v>0</v>
      </c>
      <c r="H101" s="5">
        <f t="array" ref="H101">SUMIFS(Physician_Visit_November, Physician_Visit_Practice, November!B101, Independent_Contractor_Visits,  'Physician Types'!$D$81) + SUMIFS(Physician_Minutes_November,Physician_Minutes_Practice,November!B101, Independent_Contractor_Minutes, 'Physician Types'!$D$81)/INDEX(Physician_Type_Visit_Minutes,MATCH(November!B101,Physician_Type_Practice,0))</f>
        <v>0</v>
      </c>
      <c r="I101" s="43">
        <f t="shared" si="10"/>
        <v>0</v>
      </c>
      <c r="J101" s="10">
        <f>E101*'Physician Types'!$E$4</f>
        <v>56.617558917444256</v>
      </c>
      <c r="K101" s="10">
        <f t="shared" si="8"/>
        <v>0</v>
      </c>
    </row>
    <row r="102" spans="1:11" x14ac:dyDescent="0.2">
      <c r="A102" s="158">
        <v>2</v>
      </c>
      <c r="B102" s="107" t="s">
        <v>52</v>
      </c>
      <c r="C102" s="5">
        <f>SUMIFS(Physician_Visit_November,Physician_Visit_Practice,November!B102,Physician_Visit_Hospitalists, "&lt;&gt;"&amp;'Physician Types'!$D$81)+SUMIFS(Physician_Visit_November,Physician_Visit_Practice,November!B102,Physician_Visit_Hospitalists,'Physician Types'!$D$81)*INDEX(Physician_Type_Hospitalists_Visit_Minutes,MATCH(November!B102,Physician_Type_Practice,0))/INDEX(Physician_Type_Visit_Minutes,MATCH(November!B102,Physician_Type_Practice,0)) +SUMIF(Physician_Minutes_Practice,November!B102,Physician_Minutes_November)/INDEX(Physician_Type_Visit_Minutes,MATCH(November!B102,Physician_Type_Practice,0))</f>
        <v>0</v>
      </c>
      <c r="D102" s="43">
        <f t="shared" si="9"/>
        <v>0</v>
      </c>
      <c r="E102" s="17">
        <f>INDEX(Physician_Type_Bed_Rate,MATCH(November!B102,Physician_Type_Practice,0))*'Hospital Input Page'!$C$4</f>
        <v>2088.2725970929114</v>
      </c>
      <c r="F102" s="9">
        <f t="shared" si="7"/>
        <v>0</v>
      </c>
      <c r="H102" s="5">
        <f t="array" ref="H102">SUMIFS(Physician_Visit_November, Physician_Visit_Practice, November!B102, Independent_Contractor_Visits,  'Physician Types'!$D$81) + SUMIFS(Physician_Minutes_November,Physician_Minutes_Practice,November!B102, Independent_Contractor_Minutes, 'Physician Types'!$D$81)/INDEX(Physician_Type_Visit_Minutes,MATCH(November!B102,Physician_Type_Practice,0))</f>
        <v>0</v>
      </c>
      <c r="I102" s="43">
        <f t="shared" si="10"/>
        <v>0</v>
      </c>
      <c r="J102" s="10">
        <f>E102*'Physician Types'!$E$4</f>
        <v>62.648177912787339</v>
      </c>
      <c r="K102" s="10">
        <f t="shared" si="8"/>
        <v>0</v>
      </c>
    </row>
    <row r="103" spans="1:11" x14ac:dyDescent="0.2">
      <c r="A103" s="158">
        <v>4</v>
      </c>
      <c r="B103" s="107" t="s">
        <v>52</v>
      </c>
      <c r="C103" s="5">
        <f>SUMIFS(Physician_Visit_November,Physician_Visit_Practice,November!B103,Physician_Visit_Hospitalists, "&lt;&gt;"&amp;'Physician Types'!$D$81)+SUMIFS(Physician_Visit_November,Physician_Visit_Practice,November!B103,Physician_Visit_Hospitalists,'Physician Types'!$D$81)*INDEX(Physician_Type_Hospitalists_Visit_Minutes,MATCH(November!B103,Physician_Type_Practice,0))/INDEX(Physician_Type_Visit_Minutes,MATCH(November!B103,Physician_Type_Practice,0)) +SUMIF(Physician_Minutes_Practice,November!B103,Physician_Minutes_November)/INDEX(Physician_Type_Visit_Minutes,MATCH(November!B103,Physician_Type_Practice,0))</f>
        <v>0</v>
      </c>
      <c r="D103" s="43">
        <f t="shared" si="9"/>
        <v>0</v>
      </c>
      <c r="E103" s="17">
        <f>INDEX(Physician_Type_Bed_Rate,MATCH(November!B103,Physician_Type_Practice,0))*'Hospital Input Page'!$C$4</f>
        <v>2088.2725970929114</v>
      </c>
      <c r="F103" s="9">
        <f t="shared" si="7"/>
        <v>0</v>
      </c>
      <c r="H103" s="5">
        <f t="array" ref="H103">SUMIFS(Physician_Visit_November, Physician_Visit_Practice, November!B103, Independent_Contractor_Visits,  'Physician Types'!$D$81) + SUMIFS(Physician_Minutes_November,Physician_Minutes_Practice,November!B103, Independent_Contractor_Minutes, 'Physician Types'!$D$81)/INDEX(Physician_Type_Visit_Minutes,MATCH(November!B103,Physician_Type_Practice,0))</f>
        <v>0</v>
      </c>
      <c r="I103" s="43">
        <f t="shared" si="10"/>
        <v>0</v>
      </c>
      <c r="J103" s="10">
        <f>E103*'Physician Types'!$E$4</f>
        <v>62.648177912787339</v>
      </c>
      <c r="K103" s="10">
        <f t="shared" si="8"/>
        <v>0</v>
      </c>
    </row>
    <row r="104" spans="1:11" x14ac:dyDescent="0.2">
      <c r="A104" s="158">
        <v>5</v>
      </c>
      <c r="B104" s="102" t="s">
        <v>68</v>
      </c>
      <c r="C104" s="5">
        <f>SUMIFS(Physician_Visit_November,Physician_Visit_Practice,November!B104,Physician_Visit_Hospitalists, "&lt;&gt;"&amp;'Physician Types'!$D$81)+SUMIFS(Physician_Visit_November,Physician_Visit_Practice,November!B104,Physician_Visit_Hospitalists,'Physician Types'!$D$81)*INDEX(Physician_Type_Hospitalists_Visit_Minutes,MATCH(November!B104,Physician_Type_Practice,0))/INDEX(Physician_Type_Visit_Minutes,MATCH(November!B104,Physician_Type_Practice,0)) +SUMIF(Physician_Minutes_Practice,November!B104,Physician_Minutes_November)/INDEX(Physician_Type_Visit_Minutes,MATCH(November!B104,Physician_Type_Practice,0))</f>
        <v>0</v>
      </c>
      <c r="D104" s="43">
        <f t="shared" si="9"/>
        <v>0</v>
      </c>
      <c r="E104" s="17">
        <f>INDEX(Physician_Type_Bed_Rate,MATCH(November!B104,Physician_Type_Practice,0))*'Hospital Input Page'!$C$4</f>
        <v>2708.8994063223927</v>
      </c>
      <c r="F104" s="9">
        <f t="shared" si="7"/>
        <v>0</v>
      </c>
      <c r="H104" s="5">
        <f t="array" ref="H104">SUMIFS(Physician_Visit_November, Physician_Visit_Practice, November!B104, Independent_Contractor_Visits,  'Physician Types'!$D$81) + SUMIFS(Physician_Minutes_November,Physician_Minutes_Practice,November!B104, Independent_Contractor_Minutes, 'Physician Types'!$D$81)/INDEX(Physician_Type_Visit_Minutes,MATCH(November!B104,Physician_Type_Practice,0))</f>
        <v>0</v>
      </c>
      <c r="I104" s="43">
        <f t="shared" si="10"/>
        <v>0</v>
      </c>
      <c r="J104" s="10">
        <f>E104*'Physician Types'!$E$4</f>
        <v>81.266982189671779</v>
      </c>
      <c r="K104" s="10">
        <f t="shared" si="8"/>
        <v>0</v>
      </c>
    </row>
    <row r="105" spans="1:11" x14ac:dyDescent="0.2">
      <c r="A105" s="158">
        <v>2</v>
      </c>
      <c r="B105" s="107" t="s">
        <v>53</v>
      </c>
      <c r="C105" s="5">
        <f>SUMIFS(Physician_Visit_November,Physician_Visit_Practice,November!B105,Physician_Visit_Hospitalists, "&lt;&gt;"&amp;'Physician Types'!$D$81)+SUMIFS(Physician_Visit_November,Physician_Visit_Practice,November!B105,Physician_Visit_Hospitalists,'Physician Types'!$D$81)*INDEX(Physician_Type_Hospitalists_Visit_Minutes,MATCH(November!B105,Physician_Type_Practice,0))/INDEX(Physician_Type_Visit_Minutes,MATCH(November!B105,Physician_Type_Practice,0)) +SUMIF(Physician_Minutes_Practice,November!B105,Physician_Minutes_November)/INDEX(Physician_Type_Visit_Minutes,MATCH(November!B105,Physician_Type_Practice,0))</f>
        <v>0</v>
      </c>
      <c r="D105" s="43">
        <f t="shared" si="9"/>
        <v>0</v>
      </c>
      <c r="E105" s="17">
        <f>INDEX(Physician_Type_Bed_Rate,MATCH(November!B105,Physician_Type_Practice,0))*'Hospital Input Page'!$C$4</f>
        <v>1619.8750052216039</v>
      </c>
      <c r="F105" s="9">
        <f t="shared" si="7"/>
        <v>0</v>
      </c>
      <c r="H105" s="5">
        <f t="array" ref="H105">SUMIFS(Physician_Visit_November, Physician_Visit_Practice, November!B105, Independent_Contractor_Visits,  'Physician Types'!$D$81) + SUMIFS(Physician_Minutes_November,Physician_Minutes_Practice,November!B105, Independent_Contractor_Minutes, 'Physician Types'!$D$81)/INDEX(Physician_Type_Visit_Minutes,MATCH(November!B105,Physician_Type_Practice,0))</f>
        <v>0</v>
      </c>
      <c r="I105" s="43">
        <f t="shared" si="10"/>
        <v>0</v>
      </c>
      <c r="J105" s="10">
        <f>E105*'Physician Types'!$E$4</f>
        <v>48.596250156648118</v>
      </c>
      <c r="K105" s="10">
        <f t="shared" si="8"/>
        <v>0</v>
      </c>
    </row>
    <row r="106" spans="1:11" x14ac:dyDescent="0.2">
      <c r="A106" s="158">
        <v>3</v>
      </c>
      <c r="B106" s="102" t="s">
        <v>59</v>
      </c>
      <c r="C106" s="5">
        <f>SUMIFS(Physician_Visit_November,Physician_Visit_Practice,November!B106,Physician_Visit_Hospitalists, "&lt;&gt;"&amp;'Physician Types'!$D$81)+SUMIFS(Physician_Visit_November,Physician_Visit_Practice,November!B106,Physician_Visit_Hospitalists,'Physician Types'!$D$81)*INDEX(Physician_Type_Hospitalists_Visit_Minutes,MATCH(November!B106,Physician_Type_Practice,0))/INDEX(Physician_Type_Visit_Minutes,MATCH(November!B106,Physician_Type_Practice,0)) +SUMIF(Physician_Minutes_Practice,November!B106,Physician_Minutes_November)/INDEX(Physician_Type_Visit_Minutes,MATCH(November!B106,Physician_Type_Practice,0))</f>
        <v>0</v>
      </c>
      <c r="D106" s="43">
        <f t="shared" si="9"/>
        <v>0</v>
      </c>
      <c r="E106" s="17">
        <f>INDEX(Physician_Type_Bed_Rate,MATCH(November!B106,Physician_Type_Practice,0))*'Hospital Input Page'!$C$4</f>
        <v>380.57304339543714</v>
      </c>
      <c r="F106" s="9">
        <f t="shared" si="7"/>
        <v>0</v>
      </c>
      <c r="H106" s="5">
        <f t="array" ref="H106">SUMIFS(Physician_Visit_November, Physician_Visit_Practice, November!B106, Independent_Contractor_Visits,  'Physician Types'!$D$81) + SUMIFS(Physician_Minutes_November,Physician_Minutes_Practice,November!B106, Independent_Contractor_Minutes, 'Physician Types'!$D$81)/INDEX(Physician_Type_Visit_Minutes,MATCH(November!B106,Physician_Type_Practice,0))</f>
        <v>0</v>
      </c>
      <c r="I106" s="43">
        <f t="shared" si="10"/>
        <v>0</v>
      </c>
      <c r="J106" s="10">
        <f>E106*'Physician Types'!$E$4</f>
        <v>11.417191301863113</v>
      </c>
      <c r="K106" s="10">
        <f t="shared" si="8"/>
        <v>0</v>
      </c>
    </row>
    <row r="107" spans="1:11" x14ac:dyDescent="0.2">
      <c r="A107" s="158">
        <v>7</v>
      </c>
      <c r="B107" s="102" t="s">
        <v>75</v>
      </c>
      <c r="C107" s="5">
        <f>SUMIFS(Physician_Visit_November,Physician_Visit_Practice,November!B107,Physician_Visit_Hospitalists, "&lt;&gt;"&amp;'Physician Types'!$D$81)+SUMIFS(Physician_Visit_November,Physician_Visit_Practice,November!B107,Physician_Visit_Hospitalists,'Physician Types'!$D$81)*INDEX(Physician_Type_Hospitalists_Visit_Minutes,MATCH(November!B107,Physician_Type_Practice,0))/INDEX(Physician_Type_Visit_Minutes,MATCH(November!B107,Physician_Type_Practice,0)) +SUMIF(Physician_Minutes_Practice,November!B107,Physician_Minutes_November)/INDEX(Physician_Type_Visit_Minutes,MATCH(November!B107,Physician_Type_Practice,0))</f>
        <v>0</v>
      </c>
      <c r="D107" s="43">
        <f t="shared" si="9"/>
        <v>0</v>
      </c>
      <c r="E107" s="17">
        <f>INDEX(Physician_Type_Bed_Rate,MATCH(November!B107,Physician_Type_Practice,0))*'Hospital Input Page'!$C$4</f>
        <v>7974.4690016090053</v>
      </c>
      <c r="F107" s="9">
        <f t="shared" si="7"/>
        <v>0</v>
      </c>
      <c r="H107" s="5">
        <f t="array" ref="H107">SUMIFS(Physician_Visit_November, Physician_Visit_Practice, November!B107, Independent_Contractor_Visits,  'Physician Types'!$D$81) + SUMIFS(Physician_Minutes_November,Physician_Minutes_Practice,November!B107, Independent_Contractor_Minutes, 'Physician Types'!$D$81)/INDEX(Physician_Type_Visit_Minutes,MATCH(November!B107,Physician_Type_Practice,0))</f>
        <v>0</v>
      </c>
      <c r="I107" s="43">
        <f t="shared" si="10"/>
        <v>0</v>
      </c>
      <c r="J107" s="10">
        <f>E107*'Physician Types'!$E$4</f>
        <v>239.23407004827015</v>
      </c>
      <c r="K107" s="10">
        <f t="shared" si="8"/>
        <v>0</v>
      </c>
    </row>
    <row r="108" spans="1:11" x14ac:dyDescent="0.2">
      <c r="A108" s="158">
        <v>4</v>
      </c>
      <c r="B108" s="128" t="s">
        <v>140</v>
      </c>
      <c r="C108" s="5">
        <f>SUMIFS(Physician_Visit_November,Physician_Visit_Practice,November!B108,Physician_Visit_Hospitalists, "&lt;&gt;"&amp;'Physician Types'!$D$81)+SUMIFS(Physician_Visit_November,Physician_Visit_Practice,November!B108,Physician_Visit_Hospitalists,'Physician Types'!$D$81)*INDEX(Physician_Type_Hospitalists_Visit_Minutes,MATCH(November!B108,Physician_Type_Practice,0))/INDEX(Physician_Type_Visit_Minutes,MATCH(November!B108,Physician_Type_Practice,0)) +SUMIF(Physician_Minutes_Practice,November!B108,Physician_Minutes_November)/INDEX(Physician_Type_Visit_Minutes,MATCH(November!B108,Physician_Type_Practice,0))</f>
        <v>0</v>
      </c>
      <c r="D108" s="43">
        <f t="shared" si="9"/>
        <v>0</v>
      </c>
      <c r="E108" s="17">
        <f>INDEX(Physician_Type_Bed_Rate,MATCH(November!B108,Physician_Type_Practice,0))*'Hospital Input Page'!$C$4</f>
        <v>3159.7320884985265</v>
      </c>
      <c r="F108" s="9">
        <f t="shared" si="7"/>
        <v>0</v>
      </c>
      <c r="H108" s="5">
        <f t="array" ref="H108">SUMIFS(Physician_Visit_November, Physician_Visit_Practice, November!B108, Independent_Contractor_Visits,  'Physician Types'!$D$81) + SUMIFS(Physician_Minutes_November,Physician_Minutes_Practice,November!B108, Independent_Contractor_Minutes, 'Physician Types'!$D$81)/INDEX(Physician_Type_Visit_Minutes,MATCH(November!B108,Physician_Type_Practice,0))</f>
        <v>0</v>
      </c>
      <c r="I108" s="43">
        <f t="shared" si="10"/>
        <v>0</v>
      </c>
      <c r="J108" s="10">
        <f>E108*'Physician Types'!$E$4</f>
        <v>94.791962654955796</v>
      </c>
      <c r="K108" s="10">
        <f t="shared" si="8"/>
        <v>0</v>
      </c>
    </row>
    <row r="109" spans="1:11" x14ac:dyDescent="0.2">
      <c r="A109" s="158">
        <v>7</v>
      </c>
      <c r="B109" s="102" t="s">
        <v>76</v>
      </c>
      <c r="C109" s="5">
        <f>SUMIFS(Physician_Visit_November,Physician_Visit_Practice,November!B109,Physician_Visit_Hospitalists, "&lt;&gt;"&amp;'Physician Types'!$D$81)+SUMIFS(Physician_Visit_November,Physician_Visit_Practice,November!B109,Physician_Visit_Hospitalists,'Physician Types'!$D$81)*INDEX(Physician_Type_Hospitalists_Visit_Minutes,MATCH(November!B109,Physician_Type_Practice,0))/INDEX(Physician_Type_Visit_Minutes,MATCH(November!B109,Physician_Type_Practice,0)) +SUMIF(Physician_Minutes_Practice,November!B109,Physician_Minutes_November)/INDEX(Physician_Type_Visit_Minutes,MATCH(November!B109,Physician_Type_Practice,0))</f>
        <v>0</v>
      </c>
      <c r="D109" s="43">
        <f t="shared" si="9"/>
        <v>0</v>
      </c>
      <c r="E109" s="17">
        <f>INDEX(Physician_Type_Bed_Rate,MATCH(November!B109,Physician_Type_Practice,0))*'Hospital Input Page'!$C$4</f>
        <v>7709.0436995485979</v>
      </c>
      <c r="F109" s="9">
        <f t="shared" si="7"/>
        <v>0</v>
      </c>
      <c r="H109" s="5">
        <f t="array" ref="H109">SUMIFS(Physician_Visit_November, Physician_Visit_Practice, November!B109, Independent_Contractor_Visits,  'Physician Types'!$D$81) + SUMIFS(Physician_Minutes_November,Physician_Minutes_Practice,November!B109, Independent_Contractor_Minutes, 'Physician Types'!$D$81)/INDEX(Physician_Type_Visit_Minutes,MATCH(November!B109,Physician_Type_Practice,0))</f>
        <v>0</v>
      </c>
      <c r="I109" s="43">
        <f t="shared" si="10"/>
        <v>0</v>
      </c>
      <c r="J109" s="10">
        <f>E109*'Physician Types'!$E$4</f>
        <v>231.27131098645793</v>
      </c>
      <c r="K109" s="10">
        <f t="shared" si="8"/>
        <v>0</v>
      </c>
    </row>
    <row r="110" spans="1:11" x14ac:dyDescent="0.2">
      <c r="A110" s="102"/>
      <c r="B110" s="164" t="s">
        <v>156</v>
      </c>
      <c r="C110" s="5" t="e">
        <f>SUMIFS(Physician_Visit_November,Physician_Visit_Practice,November!B110,Physician_Visit_Hospitalists, "&lt;&gt;"&amp;'Physician Types'!$D$81)+SUMIFS(Physician_Visit_November,Physician_Visit_Practice,November!B110,Physician_Visit_Hospitalists,'Physician Types'!$D$81)*INDEX(Physician_Type_Hospitalists_Visit_Minutes,MATCH(November!B110,Physician_Type_Practice,0))/INDEX(Physician_Type_Visit_Minutes,MATCH(November!B110,Physician_Type_Practice,0)) +SUMIF(Physician_Minutes_Practice,November!B110,Physician_Minutes_November)/INDEX(Physician_Type_Visit_Minutes,MATCH(November!B110,Physician_Type_Practice,0))</f>
        <v>#REF!</v>
      </c>
      <c r="D110" s="43" t="e">
        <f t="shared" si="9"/>
        <v>#REF!</v>
      </c>
      <c r="E110" s="17" t="e">
        <f>INDEX(Physician_Type_Bed_Rate,MATCH(November!B110,Physician_Type_Practice,0))*'Hospital Input Page'!$C$4</f>
        <v>#REF!</v>
      </c>
      <c r="F110" s="9" t="e">
        <f t="shared" si="7"/>
        <v>#REF!</v>
      </c>
      <c r="H110" s="5" t="e">
        <f t="array" ref="H110">SUMIFS(Physician_Visit_November, Physician_Visit_Practice, November!B110, Independent_Contractor_Visits,  'Physician Types'!$D$81) + SUMIFS(Physician_Minutes_November,Physician_Minutes_Practice,November!B110, Independent_Contractor_Minutes, 'Physician Types'!$D$81)/INDEX(Physician_Type_Visit_Minutes,MATCH(November!B110,Physician_Type_Practice,0))</f>
        <v>#REF!</v>
      </c>
      <c r="I110" s="43" t="e">
        <f t="shared" si="10"/>
        <v>#REF!</v>
      </c>
      <c r="J110" s="10" t="e">
        <f>E110*'Physician Types'!$E$4</f>
        <v>#REF!</v>
      </c>
      <c r="K110" s="10" t="e">
        <f t="shared" si="8"/>
        <v>#REF!</v>
      </c>
    </row>
    <row r="111" spans="1:11" x14ac:dyDescent="0.2">
      <c r="A111" s="102"/>
      <c r="B111" s="164" t="s">
        <v>156</v>
      </c>
      <c r="C111" s="5" t="e">
        <f>SUMIFS(Physician_Visit_November,Physician_Visit_Practice,November!B111,Physician_Visit_Hospitalists, "&lt;&gt;"&amp;'Physician Types'!$D$81)+SUMIFS(Physician_Visit_November,Physician_Visit_Practice,November!B111,Physician_Visit_Hospitalists,'Physician Types'!$D$81)*INDEX(Physician_Type_Hospitalists_Visit_Minutes,MATCH(November!B111,Physician_Type_Practice,0))/INDEX(Physician_Type_Visit_Minutes,MATCH(November!B111,Physician_Type_Practice,0)) +SUMIF(Physician_Minutes_Practice,November!B111,Physician_Minutes_November)/INDEX(Physician_Type_Visit_Minutes,MATCH(November!B111,Physician_Type_Practice,0))</f>
        <v>#REF!</v>
      </c>
      <c r="D111" s="43" t="e">
        <f t="shared" ref="D111:D112" si="15">C111*INDEX(Physician_Type_Visit_Minutes,MATCH(B111,Physician_Type_Practice,0))/INDEX(Physician_Type_FTE_Minutes,MATCH(B111,Physician_Type_Practice,0))</f>
        <v>#REF!</v>
      </c>
      <c r="E111" s="17" t="e">
        <f>INDEX(Physician_Type_Bed_Rate,MATCH(November!B111,Physician_Type_Practice,0))*'Hospital Input Page'!$C$4</f>
        <v>#REF!</v>
      </c>
      <c r="F111" s="9" t="e">
        <f t="shared" si="7"/>
        <v>#REF!</v>
      </c>
      <c r="H111" s="5" t="e">
        <f t="array" ref="H111">SUMIFS(Physician_Visit_November, Physician_Visit_Practice, November!B111, Independent_Contractor_Visits,  'Physician Types'!$D$81) + SUMIFS(Physician_Minutes_November,Physician_Minutes_Practice,November!B111, Independent_Contractor_Minutes, 'Physician Types'!$D$81)/INDEX(Physician_Type_Visit_Minutes,MATCH(November!B111,Physician_Type_Practice,0))</f>
        <v>#REF!</v>
      </c>
      <c r="I111" s="43" t="e">
        <f t="shared" ref="I111:I112" si="16">H111*INDEX(Physician_Type_Visit_Minutes,MATCH(B111,Physician_Type_Practice,0))/INDEX(Physician_Type_FTE_Minutes,MATCH(B111,Physician_Type_Practice,0))</f>
        <v>#REF!</v>
      </c>
      <c r="J111" s="10" t="e">
        <f>E111*'Physician Types'!$E$4</f>
        <v>#REF!</v>
      </c>
      <c r="K111" s="10" t="e">
        <f t="shared" si="8"/>
        <v>#REF!</v>
      </c>
    </row>
    <row r="112" spans="1:11" x14ac:dyDescent="0.2">
      <c r="A112" s="102"/>
      <c r="B112" s="164" t="s">
        <v>156</v>
      </c>
      <c r="C112" s="5" t="e">
        <f>SUMIFS(Physician_Visit_November,Physician_Visit_Practice,November!B112,Physician_Visit_Hospitalists, "&lt;&gt;"&amp;'Physician Types'!$D$81)+SUMIFS(Physician_Visit_November,Physician_Visit_Practice,November!B112,Physician_Visit_Hospitalists,'Physician Types'!$D$81)*INDEX(Physician_Type_Hospitalists_Visit_Minutes,MATCH(November!B112,Physician_Type_Practice,0))/INDEX(Physician_Type_Visit_Minutes,MATCH(November!B112,Physician_Type_Practice,0)) +SUMIF(Physician_Minutes_Practice,November!B112,Physician_Minutes_November)/INDEX(Physician_Type_Visit_Minutes,MATCH(November!B112,Physician_Type_Practice,0))</f>
        <v>#REF!</v>
      </c>
      <c r="D112" s="43" t="e">
        <f t="shared" si="15"/>
        <v>#REF!</v>
      </c>
      <c r="E112" s="17" t="e">
        <f>INDEX(Physician_Type_Bed_Rate,MATCH(November!B112,Physician_Type_Practice,0))*'Hospital Input Page'!$C$4</f>
        <v>#REF!</v>
      </c>
      <c r="F112" s="9" t="e">
        <f t="shared" ref="F112" si="17">D112*E112</f>
        <v>#REF!</v>
      </c>
      <c r="H112" s="5" t="e">
        <f t="array" ref="H112">SUMIFS(Physician_Visit_November, Physician_Visit_Practice, November!B112, Independent_Contractor_Visits,  'Physician Types'!$D$81) + SUMIFS(Physician_Minutes_November,Physician_Minutes_Practice,November!B112, Independent_Contractor_Minutes, 'Physician Types'!$D$81)/INDEX(Physician_Type_Visit_Minutes,MATCH(November!B112,Physician_Type_Practice,0))</f>
        <v>#REF!</v>
      </c>
      <c r="I112" s="43" t="e">
        <f t="shared" si="16"/>
        <v>#REF!</v>
      </c>
      <c r="J112" s="10" t="e">
        <f>E112*'Physician Types'!$E$4</f>
        <v>#REF!</v>
      </c>
      <c r="K112" s="10" t="e">
        <f t="shared" ref="K112" si="18">I112*J112</f>
        <v>#REF!</v>
      </c>
    </row>
    <row r="113" spans="1:11" x14ac:dyDescent="0.2">
      <c r="A113" s="102"/>
      <c r="B113" s="164" t="s">
        <v>156</v>
      </c>
      <c r="C113" s="5" t="e">
        <f>SUMIFS(Physician_Visit_November,Physician_Visit_Practice,November!B113,Physician_Visit_Hospitalists, "&lt;&gt;"&amp;'Physician Types'!$D$81)+SUMIFS(Physician_Visit_November,Physician_Visit_Practice,November!B113,Physician_Visit_Hospitalists,'Physician Types'!$D$81)*INDEX(Physician_Type_Hospitalists_Visit_Minutes,MATCH(November!B113,Physician_Type_Practice,0))/INDEX(Physician_Type_Visit_Minutes,MATCH(November!B113,Physician_Type_Practice,0)) +SUMIF(Physician_Minutes_Practice,November!B113,Physician_Minutes_November)/INDEX(Physician_Type_Visit_Minutes,MATCH(November!B113,Physician_Type_Practice,0))</f>
        <v>#REF!</v>
      </c>
      <c r="D113" s="43" t="e">
        <f t="shared" ref="D113:D116" si="19">C113*INDEX(Physician_Type_Visit_Minutes,MATCH(B113,Physician_Type_Practice,0))/INDEX(Physician_Type_FTE_Minutes,MATCH(B113,Physician_Type_Practice,0))</f>
        <v>#REF!</v>
      </c>
      <c r="E113" s="17" t="e">
        <f>INDEX(Physician_Type_Bed_Rate,MATCH(November!B113,Physician_Type_Practice,0))*'Hospital Input Page'!$C$4</f>
        <v>#REF!</v>
      </c>
      <c r="F113" s="9" t="e">
        <f t="shared" ref="F113:F116" si="20">D113*E113</f>
        <v>#REF!</v>
      </c>
      <c r="H113" s="5" t="e">
        <f t="array" ref="H113">SUMIFS(Physician_Visit_November, Physician_Visit_Practice, November!B113, Independent_Contractor_Visits,  'Physician Types'!$D$81) + SUMIFS(Physician_Minutes_November,Physician_Minutes_Practice,November!B113, Independent_Contractor_Minutes, 'Physician Types'!$D$81)/INDEX(Physician_Type_Visit_Minutes,MATCH(November!B113,Physician_Type_Practice,0))</f>
        <v>#REF!</v>
      </c>
      <c r="I113" s="43" t="e">
        <f t="shared" ref="I113:I116" si="21">H113*INDEX(Physician_Type_Visit_Minutes,MATCH(B113,Physician_Type_Practice,0))/INDEX(Physician_Type_FTE_Minutes,MATCH(B113,Physician_Type_Practice,0))</f>
        <v>#REF!</v>
      </c>
      <c r="J113" s="10" t="e">
        <f>E113*'Physician Types'!$E$4</f>
        <v>#REF!</v>
      </c>
      <c r="K113" s="10" t="e">
        <f t="shared" ref="K113:K116" si="22">I113*J113</f>
        <v>#REF!</v>
      </c>
    </row>
    <row r="114" spans="1:11" x14ac:dyDescent="0.2">
      <c r="A114" s="102"/>
      <c r="B114" s="164" t="s">
        <v>156</v>
      </c>
      <c r="C114" s="5" t="e">
        <f>SUMIFS(Physician_Visit_November,Physician_Visit_Practice,November!B114,Physician_Visit_Hospitalists, "&lt;&gt;"&amp;'Physician Types'!$D$81)+SUMIFS(Physician_Visit_November,Physician_Visit_Practice,November!B114,Physician_Visit_Hospitalists,'Physician Types'!$D$81)*INDEX(Physician_Type_Hospitalists_Visit_Minutes,MATCH(November!B114,Physician_Type_Practice,0))/INDEX(Physician_Type_Visit_Minutes,MATCH(November!B114,Physician_Type_Practice,0)) +SUMIF(Physician_Minutes_Practice,November!B114,Physician_Minutes_November)/INDEX(Physician_Type_Visit_Minutes,MATCH(November!B114,Physician_Type_Practice,0))</f>
        <v>#REF!</v>
      </c>
      <c r="D114" s="43" t="e">
        <f t="shared" si="19"/>
        <v>#REF!</v>
      </c>
      <c r="E114" s="17" t="e">
        <f>INDEX(Physician_Type_Bed_Rate,MATCH(November!B114,Physician_Type_Practice,0))*'Hospital Input Page'!$C$4</f>
        <v>#REF!</v>
      </c>
      <c r="F114" s="9" t="e">
        <f t="shared" si="20"/>
        <v>#REF!</v>
      </c>
      <c r="H114" s="5" t="e">
        <f t="array" ref="H114">SUMIFS(Physician_Visit_November, Physician_Visit_Practice, November!B114, Independent_Contractor_Visits,  'Physician Types'!$D$81) + SUMIFS(Physician_Minutes_November,Physician_Minutes_Practice,November!B114, Independent_Contractor_Minutes, 'Physician Types'!$D$81)/INDEX(Physician_Type_Visit_Minutes,MATCH(November!B114,Physician_Type_Practice,0))</f>
        <v>#REF!</v>
      </c>
      <c r="I114" s="43" t="e">
        <f t="shared" si="21"/>
        <v>#REF!</v>
      </c>
      <c r="J114" s="10" t="e">
        <f>E114*'Physician Types'!$E$4</f>
        <v>#REF!</v>
      </c>
      <c r="K114" s="10" t="e">
        <f t="shared" si="22"/>
        <v>#REF!</v>
      </c>
    </row>
    <row r="115" spans="1:11" x14ac:dyDescent="0.2">
      <c r="A115" s="102"/>
      <c r="B115" s="164" t="s">
        <v>156</v>
      </c>
      <c r="C115" s="5" t="e">
        <f>SUMIFS(Physician_Visit_November,Physician_Visit_Practice,November!B115,Physician_Visit_Hospitalists, "&lt;&gt;"&amp;'Physician Types'!$D$81)+SUMIFS(Physician_Visit_November,Physician_Visit_Practice,November!B115,Physician_Visit_Hospitalists,'Physician Types'!$D$81)*INDEX(Physician_Type_Hospitalists_Visit_Minutes,MATCH(November!B115,Physician_Type_Practice,0))/INDEX(Physician_Type_Visit_Minutes,MATCH(November!B115,Physician_Type_Practice,0)) +SUMIF(Physician_Minutes_Practice,November!B115,Physician_Minutes_November)/INDEX(Physician_Type_Visit_Minutes,MATCH(November!B115,Physician_Type_Practice,0))</f>
        <v>#REF!</v>
      </c>
      <c r="D115" s="43" t="e">
        <f t="shared" si="19"/>
        <v>#REF!</v>
      </c>
      <c r="E115" s="17" t="e">
        <f>INDEX(Physician_Type_Bed_Rate,MATCH(November!B115,Physician_Type_Practice,0))*'Hospital Input Page'!$C$4</f>
        <v>#REF!</v>
      </c>
      <c r="F115" s="9" t="e">
        <f t="shared" si="20"/>
        <v>#REF!</v>
      </c>
      <c r="H115" s="5" t="e">
        <f t="array" ref="H115">SUMIFS(Physician_Visit_November, Physician_Visit_Practice, November!B115, Independent_Contractor_Visits,  'Physician Types'!$D$81) + SUMIFS(Physician_Minutes_November,Physician_Minutes_Practice,November!B115, Independent_Contractor_Minutes, 'Physician Types'!$D$81)/INDEX(Physician_Type_Visit_Minutes,MATCH(November!B115,Physician_Type_Practice,0))</f>
        <v>#REF!</v>
      </c>
      <c r="I115" s="43" t="e">
        <f t="shared" si="21"/>
        <v>#REF!</v>
      </c>
      <c r="J115" s="10" t="e">
        <f>E115*'Physician Types'!$E$4</f>
        <v>#REF!</v>
      </c>
      <c r="K115" s="10" t="e">
        <f t="shared" si="22"/>
        <v>#REF!</v>
      </c>
    </row>
    <row r="116" spans="1:11" x14ac:dyDescent="0.2">
      <c r="A116" s="102"/>
      <c r="B116" s="164" t="s">
        <v>156</v>
      </c>
      <c r="C116" s="5" t="e">
        <f>SUMIFS(Physician_Visit_November,Physician_Visit_Practice,November!B116,Physician_Visit_Hospitalists, "&lt;&gt;"&amp;'Physician Types'!$D$81)+SUMIFS(Physician_Visit_November,Physician_Visit_Practice,November!B116,Physician_Visit_Hospitalists,'Physician Types'!$D$81)*INDEX(Physician_Type_Hospitalists_Visit_Minutes,MATCH(November!B116,Physician_Type_Practice,0))/INDEX(Physician_Type_Visit_Minutes,MATCH(November!B116,Physician_Type_Practice,0)) +SUMIF(Physician_Minutes_Practice,November!B116,Physician_Minutes_November)/INDEX(Physician_Type_Visit_Minutes,MATCH(November!B116,Physician_Type_Practice,0))</f>
        <v>#REF!</v>
      </c>
      <c r="D116" s="43" t="e">
        <f t="shared" si="19"/>
        <v>#REF!</v>
      </c>
      <c r="E116" s="17" t="e">
        <f>INDEX(Physician_Type_Bed_Rate,MATCH(November!B116,Physician_Type_Practice,0))*'Hospital Input Page'!$C$4</f>
        <v>#REF!</v>
      </c>
      <c r="F116" s="9" t="e">
        <f t="shared" si="20"/>
        <v>#REF!</v>
      </c>
      <c r="H116" s="5" t="e">
        <f t="array" ref="H116">SUMIFS(Physician_Visit_November, Physician_Visit_Practice, November!B116, Independent_Contractor_Visits,  'Physician Types'!$D$81) + SUMIFS(Physician_Minutes_November,Physician_Minutes_Practice,November!B116, Independent_Contractor_Minutes, 'Physician Types'!$D$81)/INDEX(Physician_Type_Visit_Minutes,MATCH(November!B116,Physician_Type_Practice,0))</f>
        <v>#REF!</v>
      </c>
      <c r="I116" s="43" t="e">
        <f t="shared" si="21"/>
        <v>#REF!</v>
      </c>
      <c r="J116" s="10" t="e">
        <f>E116*'Physician Types'!$E$4</f>
        <v>#REF!</v>
      </c>
      <c r="K116" s="10" t="e">
        <f t="shared" si="22"/>
        <v>#REF!</v>
      </c>
    </row>
    <row r="119" spans="1:11" x14ac:dyDescent="0.2">
      <c r="B119" s="46" t="s">
        <v>106</v>
      </c>
      <c r="C119" s="149"/>
      <c r="D119" s="150"/>
      <c r="E119" s="151"/>
      <c r="F119" s="48">
        <f>SUMIF(F46:F116,"&lt;&gt;#REF!",F46:F116)</f>
        <v>2536.5919944907246</v>
      </c>
      <c r="G119" s="46"/>
      <c r="H119" s="46"/>
      <c r="I119" s="46"/>
      <c r="J119" s="46"/>
      <c r="K119" s="48">
        <f>SUMIF(K46:K116,"&lt;&gt;#REF!",K46:K116)</f>
        <v>0.14947350026182241</v>
      </c>
    </row>
  </sheetData>
  <sheetProtection algorithmName="SHA-512" hashValue="iIgxdteOKxgax3fBkuRCO5z2afu+A4Gs8CEwYTqWH1Bd/8XcG5xzKcXd6HQ2VlkMZYf3RPr6xMYnFQyhj5P9OA==" saltValue="S7GdJL3m9XKD+QmteXG8RA==" spinCount="100000" sheet="1" objects="1" scenarios="1"/>
  <customSheetViews>
    <customSheetView guid="{4B7E793F-FF7C-4BA4-8EC7-9B719AA3D607}" fitToPage="1">
      <selection activeCell="B7" sqref="B7:C7"/>
      <pageMargins left="0.5" right="0.5" top="0.5" bottom="0.5" header="0.5" footer="0.5"/>
      <printOptions gridLines="1"/>
      <pageSetup scale="97" orientation="portrait" r:id="rId1"/>
      <headerFooter alignWithMargins="0"/>
    </customSheetView>
  </customSheetViews>
  <phoneticPr fontId="8" type="noConversion"/>
  <printOptions headings="1"/>
  <pageMargins left="0.5" right="0.5" top="0.5" bottom="0.5" header="0.5" footer="0.5"/>
  <pageSetup scale="94"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119"/>
  <sheetViews>
    <sheetView zoomScaleNormal="100" workbookViewId="0">
      <selection activeCell="E19" sqref="E19"/>
    </sheetView>
  </sheetViews>
  <sheetFormatPr defaultRowHeight="12.75" x14ac:dyDescent="0.2"/>
  <cols>
    <col min="1" max="1" width="3.7109375" customWidth="1"/>
    <col min="2" max="2" width="52.42578125" customWidth="1"/>
    <col min="3" max="3" width="11.7109375" customWidth="1"/>
    <col min="4" max="4" width="10.42578125" style="8" customWidth="1"/>
    <col min="5" max="5" width="9.140625" style="6" bestFit="1" customWidth="1"/>
    <col min="6" max="6" width="12.85546875" customWidth="1"/>
    <col min="8" max="8" width="13.85546875" customWidth="1"/>
    <col min="11" max="11" width="10" customWidth="1"/>
  </cols>
  <sheetData>
    <row r="1" spans="1:7" ht="15.75" x14ac:dyDescent="0.25">
      <c r="A1" s="18" t="str">
        <f>'Hospital Input Page'!A1</f>
        <v>Grover Dils</v>
      </c>
      <c r="B1" s="19"/>
      <c r="C1" s="18" t="s">
        <v>107</v>
      </c>
      <c r="D1" s="196">
        <f>'Hospital Input Page'!F6</f>
        <v>2019</v>
      </c>
      <c r="E1" s="19"/>
    </row>
    <row r="2" spans="1:7" ht="15.75" x14ac:dyDescent="0.25">
      <c r="A2" s="18" t="str">
        <f>'Hospital Input Page'!A2</f>
        <v>LiCON MONTHLY REPORT FORM (MRF)</v>
      </c>
      <c r="B2" s="19"/>
      <c r="C2" s="19"/>
      <c r="D2" s="20"/>
      <c r="E2" s="19"/>
    </row>
    <row r="3" spans="1:7" ht="15.75" customHeight="1" x14ac:dyDescent="0.25">
      <c r="A3" s="18"/>
      <c r="B3" s="21"/>
      <c r="D3" s="20"/>
      <c r="E3" s="22"/>
      <c r="F3" s="38"/>
    </row>
    <row r="5" spans="1:7" ht="15.75" x14ac:dyDescent="0.25">
      <c r="B5" s="21" t="s">
        <v>24</v>
      </c>
      <c r="C5" s="168">
        <f>F39</f>
        <v>4383.9827425234653</v>
      </c>
      <c r="E5"/>
    </row>
    <row r="6" spans="1:7" x14ac:dyDescent="0.2">
      <c r="C6" s="2"/>
    </row>
    <row r="7" spans="1:7" x14ac:dyDescent="0.2">
      <c r="B7" s="58" t="str">
        <f>'Hospital Input Page'!$B$5</f>
        <v>Deductible</v>
      </c>
      <c r="C7" s="58">
        <f>'Hospital Input Page'!$C$5</f>
        <v>10000</v>
      </c>
    </row>
    <row r="8" spans="1:7" x14ac:dyDescent="0.2">
      <c r="B8" s="1"/>
      <c r="C8" s="3"/>
    </row>
    <row r="9" spans="1:7" ht="13.5" thickBot="1" x14ac:dyDescent="0.25">
      <c r="A9" s="4"/>
      <c r="B9" s="23" t="s">
        <v>0</v>
      </c>
      <c r="C9" s="23" t="s">
        <v>1</v>
      </c>
      <c r="D9" s="24" t="s">
        <v>27</v>
      </c>
      <c r="E9" s="25"/>
      <c r="F9" s="49" t="s">
        <v>111</v>
      </c>
    </row>
    <row r="10" spans="1:7" ht="12.95" customHeight="1" x14ac:dyDescent="0.2">
      <c r="A10" s="29">
        <v>1</v>
      </c>
      <c r="B10" s="113" t="s">
        <v>2</v>
      </c>
      <c r="C10" s="5">
        <f>INDEX(Hospital_Exposure_December, MATCH(December!B10,Hospital_Exposure_Name,0))</f>
        <v>0.68</v>
      </c>
      <c r="D10" s="17">
        <f>INDEX(Hospital_Exposure_Rate,MATCH(December!B10,Hospital_Exposure_Name,0))</f>
        <v>527.69012023747894</v>
      </c>
      <c r="E10" s="28" t="s">
        <v>21</v>
      </c>
      <c r="F10" s="50">
        <f t="shared" ref="F10:F15" si="0">C10*D10</f>
        <v>358.82928176148567</v>
      </c>
    </row>
    <row r="11" spans="1:7" ht="12.95" customHeight="1" x14ac:dyDescent="0.2">
      <c r="A11" s="29">
        <f>A10+1</f>
        <v>2</v>
      </c>
      <c r="B11" s="118" t="s">
        <v>3</v>
      </c>
      <c r="C11" s="5">
        <f>INDEX(Hospital_Exposure_December, MATCH(December!B11,Hospital_Exposure_Name,0))</f>
        <v>0</v>
      </c>
      <c r="D11" s="17">
        <f>INDEX(Hospital_Exposure_Rate,MATCH(December!B11,Hospital_Exposure_Name,0))</f>
        <v>527.69012023747894</v>
      </c>
      <c r="E11" s="28" t="s">
        <v>21</v>
      </c>
      <c r="F11" s="50">
        <f t="shared" si="0"/>
        <v>0</v>
      </c>
    </row>
    <row r="12" spans="1:7" ht="12.95" customHeight="1" x14ac:dyDescent="0.2">
      <c r="A12" s="29">
        <f t="shared" ref="A12:A35" si="1">A11+1</f>
        <v>3</v>
      </c>
      <c r="B12" s="118" t="s">
        <v>4</v>
      </c>
      <c r="C12" s="5">
        <f>INDEX(Hospital_Exposure_December, MATCH(December!B12,Hospital_Exposure_Name,0))</f>
        <v>15.13</v>
      </c>
      <c r="D12" s="17">
        <f>INDEX(Hospital_Exposure_Rate,MATCH(December!B12,Hospital_Exposure_Name,0))</f>
        <v>63.322814428497473</v>
      </c>
      <c r="E12" s="28" t="s">
        <v>21</v>
      </c>
      <c r="F12" s="50">
        <f t="shared" si="0"/>
        <v>958.07418230316682</v>
      </c>
    </row>
    <row r="13" spans="1:7" ht="12.95" customHeight="1" x14ac:dyDescent="0.2">
      <c r="A13" s="29">
        <f t="shared" si="1"/>
        <v>4</v>
      </c>
      <c r="B13" s="118" t="s">
        <v>5</v>
      </c>
      <c r="C13" s="5">
        <f>INDEX(Hospital_Exposure_December, MATCH(December!B13,Hospital_Exposure_Name,0))</f>
        <v>0</v>
      </c>
      <c r="D13" s="17">
        <f>INDEX(Hospital_Exposure_Rate,MATCH(December!B13,Hospital_Exposure_Name,0))</f>
        <v>369.38308416623522</v>
      </c>
      <c r="E13" s="28" t="s">
        <v>21</v>
      </c>
      <c r="F13" s="50">
        <f t="shared" si="0"/>
        <v>0</v>
      </c>
    </row>
    <row r="14" spans="1:7" ht="12.95" customHeight="1" x14ac:dyDescent="0.2">
      <c r="A14" s="29">
        <f t="shared" si="1"/>
        <v>5</v>
      </c>
      <c r="B14" s="118" t="s">
        <v>6</v>
      </c>
      <c r="C14" s="5">
        <f>INDEX(Hospital_Exposure_December, MATCH(December!B14,Hospital_Exposure_Name,0))</f>
        <v>0</v>
      </c>
      <c r="D14" s="17">
        <f>INDEX(Hospital_Exposure_Rate,MATCH(December!B14,Hospital_Exposure_Name,0))</f>
        <v>237.988244227103</v>
      </c>
      <c r="E14" s="28" t="s">
        <v>21</v>
      </c>
      <c r="F14" s="50">
        <f t="shared" si="0"/>
        <v>0</v>
      </c>
    </row>
    <row r="15" spans="1:7" ht="12.95" customHeight="1" x14ac:dyDescent="0.2">
      <c r="A15" s="29">
        <f t="shared" si="1"/>
        <v>6</v>
      </c>
      <c r="B15" s="118" t="s">
        <v>7</v>
      </c>
      <c r="C15" s="5">
        <f>INDEX(Hospital_Exposure_December, MATCH(December!B15,Hospital_Exposure_Name,0))</f>
        <v>0</v>
      </c>
      <c r="D15" s="17">
        <f>INDEX(Hospital_Exposure_Rate,MATCH(December!B15,Hospital_Exposure_Name,0))</f>
        <v>184.69154208311761</v>
      </c>
      <c r="E15" s="28" t="s">
        <v>21</v>
      </c>
      <c r="F15" s="50">
        <f t="shared" si="0"/>
        <v>0</v>
      </c>
    </row>
    <row r="16" spans="1:7" ht="12.95" customHeight="1" x14ac:dyDescent="0.2">
      <c r="A16" s="29">
        <f t="shared" si="1"/>
        <v>7</v>
      </c>
      <c r="B16" s="122" t="s">
        <v>114</v>
      </c>
      <c r="C16" s="5">
        <f>INDEX(Hospital_Exposure_December, MATCH(December!B16,Hospital_Exposure_Name,0))</f>
        <v>71</v>
      </c>
      <c r="D16" s="17">
        <f>INDEX(Hospital_Exposure_Rate,MATCH(December!B16,Hospital_Exposure_Name,0))</f>
        <v>89.707320440371419</v>
      </c>
      <c r="E16" s="28" t="s">
        <v>22</v>
      </c>
      <c r="F16" s="50">
        <f>C16*D16/100</f>
        <v>63.692197512663704</v>
      </c>
      <c r="G16" s="31"/>
    </row>
    <row r="17" spans="1:7" ht="12.95" customHeight="1" x14ac:dyDescent="0.2">
      <c r="A17" s="29">
        <f t="shared" si="1"/>
        <v>8</v>
      </c>
      <c r="B17" s="122" t="s">
        <v>115</v>
      </c>
      <c r="C17" s="5">
        <f>INDEX(Hospital_Exposure_December, MATCH(December!B17,Hospital_Exposure_Name,0))</f>
        <v>1270</v>
      </c>
      <c r="D17" s="17">
        <f>INDEX(Hospital_Exposure_Rate,MATCH(December!B17,Hospital_Exposure_Name,0))</f>
        <v>21.107604809499158</v>
      </c>
      <c r="E17" s="28" t="s">
        <v>22</v>
      </c>
      <c r="F17" s="50">
        <f>C17*D17/100</f>
        <v>268.06658108063931</v>
      </c>
      <c r="G17" s="31"/>
    </row>
    <row r="18" spans="1:7" ht="12.95" customHeight="1" x14ac:dyDescent="0.2">
      <c r="A18" s="29">
        <f t="shared" si="1"/>
        <v>9</v>
      </c>
      <c r="B18" s="122" t="s">
        <v>116</v>
      </c>
      <c r="C18" s="5">
        <f>INDEX(Hospital_Exposure_December, MATCH(December!B18,Hospital_Exposure_Name,0))</f>
        <v>0</v>
      </c>
      <c r="D18" s="17">
        <f>INDEX(Hospital_Exposure_Rate,MATCH(December!B18,Hospital_Exposure_Name,0))</f>
        <v>1.1609182645224538</v>
      </c>
      <c r="E18" s="28" t="s">
        <v>22</v>
      </c>
      <c r="F18" s="50">
        <f>C18*D18/100</f>
        <v>0</v>
      </c>
    </row>
    <row r="19" spans="1:7" ht="12.95" customHeight="1" x14ac:dyDescent="0.2">
      <c r="A19" s="29">
        <f t="shared" si="1"/>
        <v>10</v>
      </c>
      <c r="B19" s="118" t="s">
        <v>8</v>
      </c>
      <c r="C19" s="5">
        <f>INDEX(Hospital_Exposure_December, MATCH(December!B19,Hospital_Exposure_Name,0))</f>
        <v>0</v>
      </c>
      <c r="D19" s="17">
        <f>INDEX(Hospital_Exposure_Rate,MATCH(December!B19,Hospital_Exposure_Name,0))</f>
        <v>26.384506011873949</v>
      </c>
      <c r="E19" s="28" t="s">
        <v>23</v>
      </c>
      <c r="F19" s="50">
        <f>C19*D19</f>
        <v>0</v>
      </c>
    </row>
    <row r="20" spans="1:7" ht="12.95" customHeight="1" x14ac:dyDescent="0.2">
      <c r="A20" s="29">
        <f t="shared" si="1"/>
        <v>11</v>
      </c>
      <c r="B20" s="118" t="s">
        <v>9</v>
      </c>
      <c r="C20" s="5">
        <f>INDEX(Hospital_Exposure_December, MATCH(December!B20,Hospital_Exposure_Name,0))</f>
        <v>0</v>
      </c>
      <c r="D20" s="17">
        <f>INDEX(Hospital_Exposure_Rate,MATCH(December!B20,Hospital_Exposure_Name,0))</f>
        <v>10.553802404749579</v>
      </c>
      <c r="E20" s="28" t="s">
        <v>23</v>
      </c>
      <c r="F20" s="50">
        <f>C20*D20</f>
        <v>0</v>
      </c>
    </row>
    <row r="21" spans="1:7" ht="12.95" customHeight="1" x14ac:dyDescent="0.2">
      <c r="A21" s="29">
        <f t="shared" si="1"/>
        <v>12</v>
      </c>
      <c r="B21" s="118" t="s">
        <v>10</v>
      </c>
      <c r="C21" s="5">
        <f>INDEX(Hospital_Exposure_December, MATCH(December!B21,Hospital_Exposure_Name,0))</f>
        <v>0</v>
      </c>
      <c r="D21" s="17">
        <f>INDEX(Hospital_Exposure_Rate,MATCH(December!B21,Hospital_Exposure_Name,0))</f>
        <v>79.153518035621843</v>
      </c>
      <c r="E21" s="28" t="s">
        <v>23</v>
      </c>
      <c r="F21" s="50">
        <f t="shared" ref="F21:F23" si="2">C21*D21</f>
        <v>0</v>
      </c>
    </row>
    <row r="22" spans="1:7" ht="12.95" customHeight="1" x14ac:dyDescent="0.2">
      <c r="A22" s="29">
        <f t="shared" si="1"/>
        <v>13</v>
      </c>
      <c r="B22" s="118" t="s">
        <v>11</v>
      </c>
      <c r="C22" s="5">
        <f>INDEX(Hospital_Exposure_December, MATCH(December!B22,Hospital_Exposure_Name,0))</f>
        <v>0</v>
      </c>
      <c r="D22" s="17">
        <f>INDEX(Hospital_Exposure_Rate,MATCH(December!B22,Hospital_Exposure_Name,0))</f>
        <v>79.153518035621843</v>
      </c>
      <c r="E22" s="28" t="s">
        <v>23</v>
      </c>
      <c r="F22" s="50">
        <f t="shared" si="2"/>
        <v>0</v>
      </c>
    </row>
    <row r="23" spans="1:7" ht="12.95" customHeight="1" x14ac:dyDescent="0.2">
      <c r="A23" s="29">
        <f t="shared" si="1"/>
        <v>14</v>
      </c>
      <c r="B23" s="122" t="s">
        <v>117</v>
      </c>
      <c r="C23" s="5">
        <f>INDEX(Hospital_Exposure_December, MATCH(December!B23,Hospital_Exposure_Name,0))</f>
        <v>0</v>
      </c>
      <c r="D23" s="17">
        <f>INDEX(Hospital_Exposure_Rate,MATCH(December!B23,Hospital_Exposure_Name,0))</f>
        <v>341.38512486587695</v>
      </c>
      <c r="E23" s="28" t="s">
        <v>23</v>
      </c>
      <c r="F23" s="50">
        <f t="shared" si="2"/>
        <v>0</v>
      </c>
    </row>
    <row r="24" spans="1:7" ht="12.95" customHeight="1" x14ac:dyDescent="0.2">
      <c r="A24" s="29">
        <f t="shared" si="1"/>
        <v>15</v>
      </c>
      <c r="B24" s="74" t="s">
        <v>136</v>
      </c>
      <c r="C24" s="5">
        <f>INDEX($C$47:$C$113,MATCH(B24,$B$47:$B$113,0))</f>
        <v>71</v>
      </c>
      <c r="D24" s="5">
        <f>INDEX($E$47:$E$113,MATCH(B24,$B$47:$B$113,0))</f>
        <v>1727.2161200254454</v>
      </c>
      <c r="E24" s="28" t="s">
        <v>22</v>
      </c>
      <c r="F24" s="50">
        <f>SUMIF(B46:B112,B24,F46:F112)+SUMIF(B46:B112,B54,K46:K112)</f>
        <v>1226.3981819681972</v>
      </c>
    </row>
    <row r="25" spans="1:7" ht="12.95" customHeight="1" x14ac:dyDescent="0.2">
      <c r="A25" s="29">
        <f t="shared" si="1"/>
        <v>16</v>
      </c>
      <c r="B25" s="4" t="s">
        <v>12</v>
      </c>
      <c r="C25" s="5">
        <f>SUMIF($A$47:$A$113, 1,$D$47:$D$113)</f>
        <v>0</v>
      </c>
      <c r="D25" s="5">
        <f>IFERROR(F25/C25,0)</f>
        <v>0</v>
      </c>
      <c r="E25" s="28" t="s">
        <v>23</v>
      </c>
      <c r="F25" s="51">
        <f>SUMIF($A$46:$A$112, 1,$F$46:$F$112) + SUMIF($A$46:$A$112, 1,$K$46:$K$112)</f>
        <v>0</v>
      </c>
    </row>
    <row r="26" spans="1:7" ht="12.95" customHeight="1" x14ac:dyDescent="0.2">
      <c r="A26" s="29">
        <f t="shared" si="1"/>
        <v>17</v>
      </c>
      <c r="B26" s="4" t="s">
        <v>13</v>
      </c>
      <c r="C26" s="5">
        <f>SUMIF($A$47:$A$113, 2,$D$47:$D$113)</f>
        <v>0</v>
      </c>
      <c r="D26" s="5">
        <f t="shared" ref="D26:D35" si="3">IFERROR(F26/C26,0)</f>
        <v>0</v>
      </c>
      <c r="E26" s="28" t="s">
        <v>23</v>
      </c>
      <c r="F26" s="51">
        <f>SUMIF($A$46:$A$112, 2,$F$46:$F$112) + SUMIF($A$46:$A$112, 2,$K$46:$K$112)</f>
        <v>0</v>
      </c>
    </row>
    <row r="27" spans="1:7" ht="12.95" customHeight="1" x14ac:dyDescent="0.2">
      <c r="A27" s="29">
        <f t="shared" si="1"/>
        <v>18</v>
      </c>
      <c r="B27" s="4" t="s">
        <v>14</v>
      </c>
      <c r="C27" s="5">
        <f>SUMIF($A$47:$A$113, 3,$D$47:$D$113)</f>
        <v>0.52501009634800666</v>
      </c>
      <c r="D27" s="5">
        <f t="shared" si="3"/>
        <v>1951.6566327971134</v>
      </c>
      <c r="E27" s="28" t="s">
        <v>23</v>
      </c>
      <c r="F27" s="51">
        <f>SUMIF($A$46:$A$112, 3,$F$46:$F$112) + SUMIF($A$46:$A$112, 3,$K$46:$K$112)</f>
        <v>1024.6394368230387</v>
      </c>
    </row>
    <row r="28" spans="1:7" ht="12.95" customHeight="1" x14ac:dyDescent="0.2">
      <c r="A28" s="29">
        <f t="shared" si="1"/>
        <v>19</v>
      </c>
      <c r="B28" s="4" t="s">
        <v>15</v>
      </c>
      <c r="C28" s="5">
        <f>SUMIF($A$47:$A$113, 4,$D$47:$D$113)</f>
        <v>0</v>
      </c>
      <c r="D28" s="5">
        <f t="shared" si="3"/>
        <v>0</v>
      </c>
      <c r="E28" s="28" t="s">
        <v>23</v>
      </c>
      <c r="F28" s="51">
        <f>SUMIF($A$46:$A$112, 4,$F$46:$F$112) + SUMIF($A$46:$A$112, 4,$K$46:$K$112)</f>
        <v>0</v>
      </c>
    </row>
    <row r="29" spans="1:7" ht="12.95" customHeight="1" x14ac:dyDescent="0.2">
      <c r="A29" s="29">
        <f t="shared" si="1"/>
        <v>20</v>
      </c>
      <c r="B29" s="4" t="s">
        <v>16</v>
      </c>
      <c r="C29" s="5">
        <f>SUMIF($A$47:$A$113, 5,$D$47:$D$113)</f>
        <v>0</v>
      </c>
      <c r="D29" s="5">
        <f t="shared" si="3"/>
        <v>0</v>
      </c>
      <c r="E29" s="28" t="s">
        <v>23</v>
      </c>
      <c r="F29" s="51">
        <f>SUMIF($A$46:$A$112, 5,$F$46:$F$112) + SUMIF($A$46:$A$112, 5,$K$46:$K$112)</f>
        <v>0</v>
      </c>
    </row>
    <row r="30" spans="1:7" ht="12.95" customHeight="1" x14ac:dyDescent="0.2">
      <c r="A30" s="29">
        <f t="shared" si="1"/>
        <v>21</v>
      </c>
      <c r="B30" s="4" t="s">
        <v>17</v>
      </c>
      <c r="C30" s="5">
        <f>SUMIF($A$47:$A$113, 6,$D$47:$D$113)</f>
        <v>0</v>
      </c>
      <c r="D30" s="5">
        <f t="shared" si="3"/>
        <v>0</v>
      </c>
      <c r="E30" s="28" t="s">
        <v>23</v>
      </c>
      <c r="F30" s="51">
        <f>SUMIF($A$46:$A$112, 6,$F$46:$F$112) + SUMIF($A$46:$A$112, 6,$K$46:$K$112)</f>
        <v>0</v>
      </c>
    </row>
    <row r="31" spans="1:7" ht="12.95" customHeight="1" x14ac:dyDescent="0.2">
      <c r="A31" s="29">
        <f t="shared" si="1"/>
        <v>22</v>
      </c>
      <c r="B31" s="4" t="s">
        <v>18</v>
      </c>
      <c r="C31" s="5">
        <f>SUMIF($A$47:$A$113, 7,$D$47:$D$113)</f>
        <v>0</v>
      </c>
      <c r="D31" s="5">
        <f t="shared" si="3"/>
        <v>0</v>
      </c>
      <c r="E31" s="28" t="s">
        <v>23</v>
      </c>
      <c r="F31" s="51">
        <f>SUMIF($A$46:$A$112, 7,$F$46:$F$112) + SUMIF($A$46:$A$112, 7,$K$46:$K$112)</f>
        <v>0</v>
      </c>
    </row>
    <row r="32" spans="1:7" ht="12.95" customHeight="1" x14ac:dyDescent="0.2">
      <c r="A32" s="29">
        <f t="shared" si="1"/>
        <v>23</v>
      </c>
      <c r="B32" s="4" t="s">
        <v>19</v>
      </c>
      <c r="C32" s="5">
        <f>SUMIF($A$47:$A$113, 8,$D$47:$D$113)</f>
        <v>0</v>
      </c>
      <c r="D32" s="5">
        <f t="shared" si="3"/>
        <v>0</v>
      </c>
      <c r="E32" s="28" t="s">
        <v>23</v>
      </c>
      <c r="F32" s="51">
        <f>SUMIF($A$46:$A$112, 8,$F$46:$F$112) + SUMIF($A$46:$A$112, 8,$K$46:$K$112)</f>
        <v>0</v>
      </c>
    </row>
    <row r="33" spans="1:11" ht="12.95" customHeight="1" x14ac:dyDescent="0.2">
      <c r="A33" s="29">
        <f t="shared" si="1"/>
        <v>24</v>
      </c>
      <c r="B33" t="s">
        <v>79</v>
      </c>
      <c r="C33" s="5">
        <f>SUMIF($B$47:$B$113, B33,$D$47:$D$113)</f>
        <v>0</v>
      </c>
      <c r="D33" s="5">
        <f t="shared" si="3"/>
        <v>0</v>
      </c>
      <c r="E33" s="28" t="s">
        <v>23</v>
      </c>
      <c r="F33" s="51">
        <f>SUMIF($B$46:$B$112, B33,$F$46:$F$112) + SUMIF($B$46:$B$112, B33,$K$46:$K$112)</f>
        <v>0</v>
      </c>
    </row>
    <row r="34" spans="1:11" ht="12.95" customHeight="1" x14ac:dyDescent="0.2">
      <c r="A34" s="29">
        <f t="shared" si="1"/>
        <v>25</v>
      </c>
      <c r="B34" t="s">
        <v>20</v>
      </c>
      <c r="C34" s="5">
        <f>SUMIF($B$47:$B$113, B34,$D$47:$D$113)</f>
        <v>0.98078809207869366</v>
      </c>
      <c r="D34" s="5">
        <f t="shared" si="3"/>
        <v>493.76912809766964</v>
      </c>
      <c r="E34" s="28" t="s">
        <v>23</v>
      </c>
      <c r="F34" s="51">
        <f t="shared" ref="F34:F35" si="4">SUMIF($B$46:$B$112, B34,$F$46:$F$112) + SUMIF($B$46:$B$112, B34,$K$46:$K$112)</f>
        <v>484.28288107427352</v>
      </c>
    </row>
    <row r="35" spans="1:11" ht="12.95" customHeight="1" x14ac:dyDescent="0.2">
      <c r="A35" s="29">
        <f t="shared" si="1"/>
        <v>26</v>
      </c>
      <c r="B35" t="s">
        <v>80</v>
      </c>
      <c r="C35" s="5">
        <f>SUMIF($B$47:$B$113, B35,$D$47:$D$113)</f>
        <v>0</v>
      </c>
      <c r="D35" s="5">
        <f t="shared" si="3"/>
        <v>0</v>
      </c>
      <c r="E35" s="28" t="s">
        <v>23</v>
      </c>
      <c r="F35" s="51">
        <f t="shared" si="4"/>
        <v>0</v>
      </c>
    </row>
    <row r="36" spans="1:11" x14ac:dyDescent="0.2">
      <c r="F36" s="50"/>
    </row>
    <row r="37" spans="1:11" x14ac:dyDescent="0.2">
      <c r="F37" s="50"/>
    </row>
    <row r="38" spans="1:11" x14ac:dyDescent="0.2">
      <c r="B38" s="4"/>
      <c r="C38" s="5"/>
      <c r="D38" s="17"/>
      <c r="E38" s="7"/>
      <c r="F38" s="52"/>
    </row>
    <row r="39" spans="1:11" x14ac:dyDescent="0.2">
      <c r="A39" s="31"/>
      <c r="B39" s="53" t="s">
        <v>84</v>
      </c>
      <c r="C39" s="46"/>
      <c r="D39" s="54"/>
      <c r="E39" s="55"/>
      <c r="F39" s="169">
        <f>SUM(F10:F35)</f>
        <v>4383.9827425234653</v>
      </c>
    </row>
    <row r="40" spans="1:11" x14ac:dyDescent="0.2">
      <c r="A40" s="31"/>
      <c r="B40" s="34"/>
      <c r="C40" s="31"/>
      <c r="D40" s="35"/>
      <c r="E40" s="36"/>
      <c r="F40" s="16"/>
    </row>
    <row r="41" spans="1:11" x14ac:dyDescent="0.2">
      <c r="F41" s="10"/>
    </row>
    <row r="42" spans="1:11" x14ac:dyDescent="0.2">
      <c r="F42" s="10"/>
      <c r="H42" s="45" t="s">
        <v>148</v>
      </c>
      <c r="I42" s="45"/>
      <c r="J42" s="45"/>
      <c r="K42" s="45"/>
    </row>
    <row r="43" spans="1:11" ht="25.5" x14ac:dyDescent="0.2">
      <c r="A43" s="23" t="s">
        <v>85</v>
      </c>
      <c r="B43" s="41" t="s">
        <v>86</v>
      </c>
      <c r="C43" s="46" t="s">
        <v>81</v>
      </c>
      <c r="D43" s="47" t="s">
        <v>82</v>
      </c>
      <c r="E43" s="24" t="s">
        <v>27</v>
      </c>
      <c r="F43" s="23" t="s">
        <v>26</v>
      </c>
      <c r="H43" s="44" t="s">
        <v>143</v>
      </c>
      <c r="I43" s="47" t="s">
        <v>82</v>
      </c>
      <c r="J43" s="24" t="s">
        <v>27</v>
      </c>
      <c r="K43" s="23" t="s">
        <v>149</v>
      </c>
    </row>
    <row r="44" spans="1:11" x14ac:dyDescent="0.2">
      <c r="E44" s="8"/>
    </row>
    <row r="45" spans="1:11" x14ac:dyDescent="0.2">
      <c r="E45" s="8"/>
    </row>
    <row r="46" spans="1:11" x14ac:dyDescent="0.2">
      <c r="A46" s="158">
        <v>1</v>
      </c>
      <c r="B46" s="107" t="s">
        <v>28</v>
      </c>
      <c r="C46" s="5">
        <f>SUMIFS(Physician_Visit_December,Physician_Visit_Practice,December!B46,Physician_Visit_Hospitalists, "&lt;&gt;"&amp;'Physician Types'!$D$81)+SUMIFS(Physician_Visit_December,Physician_Visit_Practice,December!B46,Physician_Visit_Hospitalists,'Physician Types'!$D$81)*INDEX(Physician_Type_Hospitalists_Visit_Minutes,MATCH(December!B46,Physician_Type_Practice,0))/INDEX(Physician_Type_Visit_Minutes,MATCH(December!B46,Physician_Type_Practice,0)) +SUMIF(Physician_Minutes_Practice,December!B46,Physician_Minutes_December)/INDEX(Physician_Type_Visit_Minutes,MATCH(December!B46,Physician_Type_Practice,0))</f>
        <v>0</v>
      </c>
      <c r="D46" s="43">
        <f t="shared" ref="D46:D77" si="5">C46*INDEX(Physician_Type_Visit_Minutes,MATCH(B46,Physician_Type_Practice,0))/INDEX(Physician_Type_FTE_Minutes,MATCH(B46,Physician_Type_Practice,0))</f>
        <v>0</v>
      </c>
      <c r="E46" s="17">
        <f>INDEX(Physician_Type_Bed_Rate,MATCH(December!B46,Physician_Type_Practice,0))*'Hospital Input Page'!$C$4</f>
        <v>925.08524394583173</v>
      </c>
      <c r="F46" s="9">
        <f>D46*E46</f>
        <v>0</v>
      </c>
      <c r="H46" s="5">
        <f t="array" ref="H46">SUMIFS(Physician_Visit_December, Physician_Visit_Practice, December!B46, Independent_Contractor_Visits,  'Physician Types'!$D$81) + SUMIFS(Physician_Minutes_December,Physician_Minutes_Practice,December!B46, Independent_Contractor_Minutes, 'Physician Types'!$D$81)/INDEX(Physician_Type_Visit_Minutes,MATCH(December!B46,Physician_Type_Practice,0))</f>
        <v>0</v>
      </c>
      <c r="I46" s="43">
        <f t="shared" ref="I46:I77" si="6">H46*INDEX(Physician_Type_Visit_Minutes,MATCH(B46,Physician_Type_Practice,0))/INDEX(Physician_Type_FTE_Minutes,MATCH(B46,Physician_Type_Practice,0))</f>
        <v>0</v>
      </c>
      <c r="J46" s="10">
        <f>E46*'Physician Types'!$E$4</f>
        <v>27.752557318374951</v>
      </c>
      <c r="K46" s="10">
        <f>I46*J46</f>
        <v>0</v>
      </c>
    </row>
    <row r="47" spans="1:11" x14ac:dyDescent="0.2">
      <c r="A47" s="158">
        <v>1</v>
      </c>
      <c r="B47" s="107" t="s">
        <v>29</v>
      </c>
      <c r="C47" s="5">
        <f>SUMIFS(Physician_Visit_December,Physician_Visit_Practice,December!B47,Physician_Visit_Hospitalists, "&lt;&gt;"&amp;'Physician Types'!$D$81)+SUMIFS(Physician_Visit_December,Physician_Visit_Practice,December!B47,Physician_Visit_Hospitalists,'Physician Types'!$D$81)*INDEX(Physician_Type_Hospitalists_Visit_Minutes,MATCH(December!B47,Physician_Type_Practice,0))/INDEX(Physician_Type_Visit_Minutes,MATCH(December!B47,Physician_Type_Practice,0)) +SUMIF(Physician_Minutes_Practice,December!B47,Physician_Minutes_December)/INDEX(Physician_Type_Visit_Minutes,MATCH(December!B47,Physician_Type_Practice,0))</f>
        <v>0</v>
      </c>
      <c r="D47" s="43">
        <f t="shared" si="5"/>
        <v>0</v>
      </c>
      <c r="E47" s="17">
        <f>INDEX(Physician_Type_Bed_Rate,MATCH(December!B47,Physician_Type_Practice,0))*'Hospital Input Page'!$C$4</f>
        <v>993.39322609373073</v>
      </c>
      <c r="F47" s="9">
        <f t="shared" ref="F47:F111" si="7">D47*E47</f>
        <v>0</v>
      </c>
      <c r="H47" s="5">
        <f t="array" ref="H47">SUMIFS(Physician_Visit_December, Physician_Visit_Practice, December!B47, Independent_Contractor_Visits,  'Physician Types'!$D$81) + SUMIFS(Physician_Minutes_December,Physician_Minutes_Practice,December!B47, Independent_Contractor_Minutes, 'Physician Types'!$D$81)/INDEX(Physician_Type_Visit_Minutes,MATCH(December!B47,Physician_Type_Practice,0))</f>
        <v>0</v>
      </c>
      <c r="I47" s="43">
        <f t="shared" si="6"/>
        <v>0</v>
      </c>
      <c r="J47" s="10">
        <f>E47*'Physician Types'!$E$4</f>
        <v>29.80179678281192</v>
      </c>
      <c r="K47" s="10">
        <f t="shared" ref="K47:K111" si="8">I47*J47</f>
        <v>0</v>
      </c>
    </row>
    <row r="48" spans="1:11" x14ac:dyDescent="0.2">
      <c r="A48" s="158">
        <v>4</v>
      </c>
      <c r="B48" s="102" t="s">
        <v>60</v>
      </c>
      <c r="C48" s="5">
        <f>SUMIFS(Physician_Visit_December,Physician_Visit_Practice,December!B48,Physician_Visit_Hospitalists, "&lt;&gt;"&amp;'Physician Types'!$D$81)+SUMIFS(Physician_Visit_December,Physician_Visit_Practice,December!B48,Physician_Visit_Hospitalists,'Physician Types'!$D$81)*INDEX(Physician_Type_Hospitalists_Visit_Minutes,MATCH(December!B48,Physician_Type_Practice,0))/INDEX(Physician_Type_Visit_Minutes,MATCH(December!B48,Physician_Type_Practice,0)) +SUMIF(Physician_Minutes_Practice,December!B48,Physician_Minutes_December)/INDEX(Physician_Type_Visit_Minutes,MATCH(December!B48,Physician_Type_Practice,0))</f>
        <v>0</v>
      </c>
      <c r="D48" s="43">
        <f t="shared" si="5"/>
        <v>0</v>
      </c>
      <c r="E48" s="17">
        <f>INDEX(Physician_Type_Bed_Rate,MATCH(December!B48,Physician_Type_Practice,0))*'Hospital Input Page'!$C$4</f>
        <v>2699.1411231584075</v>
      </c>
      <c r="F48" s="9">
        <f t="shared" si="7"/>
        <v>0</v>
      </c>
      <c r="H48" s="5">
        <f>SUMIFS(Physician_Visit_December,Physician_Visit_Practice,December!B48,Independent_Contractor_Visits, "&lt;&gt;"&amp;'Physician Types'!$D$81)+SUMIFS(Physician_Visit_December,Physician_Visit_Practice,December!B48,Independent_Contractor_Visits,'Physician Types'!$D$81)*INDEX(Physician_Type_Hospitalists_Visit_Minutes,MATCH(December!B48,Physician_Type_Practice,0))/INDEX(Physician_Type_Visit_Minutes,MATCH(December!B48,Physician_Type_Practice,0)) +SUMIF(Physician_Minutes_Practice,December!B48,Physician_Minutes_December)/INDEX(Physician_Type_Visit_Minutes,MATCH(December!B48,Physician_Type_Practice,0))</f>
        <v>0</v>
      </c>
      <c r="I48" s="43">
        <f t="shared" si="6"/>
        <v>0</v>
      </c>
      <c r="J48" s="10">
        <f>E48*'Physician Types'!$E$4</f>
        <v>80.974233694752215</v>
      </c>
      <c r="K48" s="10">
        <f t="shared" si="8"/>
        <v>0</v>
      </c>
    </row>
    <row r="49" spans="1:11" x14ac:dyDescent="0.2">
      <c r="A49" s="158">
        <v>4</v>
      </c>
      <c r="B49" s="102" t="s">
        <v>61</v>
      </c>
      <c r="C49" s="5">
        <f>SUMIFS(Physician_Visit_December,Physician_Visit_Practice,December!B49,Physician_Visit_Hospitalists, "&lt;&gt;"&amp;'Physician Types'!$D$81)+SUMIFS(Physician_Visit_December,Physician_Visit_Practice,December!B49,Physician_Visit_Hospitalists,'Physician Types'!$D$81)*INDEX(Physician_Type_Hospitalists_Visit_Minutes,MATCH(December!B49,Physician_Type_Practice,0))/INDEX(Physician_Type_Visit_Minutes,MATCH(December!B49,Physician_Type_Practice,0)) +SUMIF(Physician_Minutes_Practice,December!B49,Physician_Minutes_December)/INDEX(Physician_Type_Visit_Minutes,MATCH(December!B49,Physician_Type_Practice,0))</f>
        <v>0</v>
      </c>
      <c r="D49" s="43">
        <f t="shared" si="5"/>
        <v>0</v>
      </c>
      <c r="E49" s="17">
        <f>INDEX(Physician_Type_Bed_Rate,MATCH(December!B49,Physician_Type_Practice,0))*'Hospital Input Page'!$C$4</f>
        <v>3071.9075400226566</v>
      </c>
      <c r="F49" s="9">
        <f t="shared" si="7"/>
        <v>0</v>
      </c>
      <c r="H49" s="5">
        <f>SUMIFS(Physician_Visit_December,Physician_Visit_Practice,December!B49,Independent_Contractor_Visits, "&lt;&gt;"&amp;'Physician Types'!$D$81)+SUMIFS(Physician_Visit_December,Physician_Visit_Practice,December!B49,Independent_Contractor_Visits,'Physician Types'!$D$81)*INDEX(Physician_Type_Hospitalists_Visit_Minutes,MATCH(December!B49,Physician_Type_Practice,0))/INDEX(Physician_Type_Visit_Minutes,MATCH(December!B49,Physician_Type_Practice,0)) +SUMIF(Physician_Minutes_Practice,December!B49,Physician_Minutes_December)/INDEX(Physician_Type_Visit_Minutes,MATCH(December!B49,Physician_Type_Practice,0))</f>
        <v>0</v>
      </c>
      <c r="I49" s="43">
        <f t="shared" si="6"/>
        <v>0</v>
      </c>
      <c r="J49" s="10">
        <f>E49*'Physician Types'!$E$4</f>
        <v>92.157226200679688</v>
      </c>
      <c r="K49" s="10">
        <f t="shared" si="8"/>
        <v>0</v>
      </c>
    </row>
    <row r="50" spans="1:11" x14ac:dyDescent="0.2">
      <c r="A50" s="158">
        <v>2</v>
      </c>
      <c r="B50" s="107" t="s">
        <v>34</v>
      </c>
      <c r="C50" s="5">
        <f>SUMIFS(Physician_Visit_December,Physician_Visit_Practice,December!B50,Physician_Visit_Hospitalists, "&lt;&gt;"&amp;'Physician Types'!$D$81)+SUMIFS(Physician_Visit_December,Physician_Visit_Practice,December!B50,Physician_Visit_Hospitalists,'Physician Types'!$D$81)*INDEX(Physician_Type_Hospitalists_Visit_Minutes,MATCH(December!B50,Physician_Type_Practice,0))/INDEX(Physician_Type_Visit_Minutes,MATCH(December!B50,Physician_Type_Practice,0)) +SUMIF(Physician_Minutes_Practice,December!B50,Physician_Minutes_December)/INDEX(Physician_Type_Visit_Minutes,MATCH(December!B50,Physician_Type_Practice,0))</f>
        <v>0</v>
      </c>
      <c r="D50" s="43">
        <f t="shared" si="5"/>
        <v>0</v>
      </c>
      <c r="E50" s="17">
        <f>INDEX(Physician_Type_Bed_Rate,MATCH(December!B50,Physician_Type_Practice,0))*'Hospital Input Page'!$C$4</f>
        <v>1619.8750052216039</v>
      </c>
      <c r="F50" s="9">
        <f t="shared" si="7"/>
        <v>0</v>
      </c>
      <c r="H50" s="5">
        <f>SUMIFS(Physician_Visit_December,Physician_Visit_Practice,December!B50,Independent_Contractor_Visits, "&lt;&gt;"&amp;'Physician Types'!$D$81)+SUMIFS(Physician_Visit_December,Physician_Visit_Practice,December!B50,Independent_Contractor_Visits,'Physician Types'!$D$81)*INDEX(Physician_Type_Hospitalists_Visit_Minutes,MATCH(December!B50,Physician_Type_Practice,0))/INDEX(Physician_Type_Visit_Minutes,MATCH(December!B50,Physician_Type_Practice,0)) +SUMIF(Physician_Minutes_Practice,December!B50,Physician_Minutes_December)/INDEX(Physician_Type_Visit_Minutes,MATCH(December!B50,Physician_Type_Practice,0))</f>
        <v>0</v>
      </c>
      <c r="I50" s="43">
        <f t="shared" si="6"/>
        <v>0</v>
      </c>
      <c r="J50" s="10">
        <f>E50*'Physician Types'!$E$4</f>
        <v>48.596250156648118</v>
      </c>
      <c r="K50" s="10">
        <f t="shared" si="8"/>
        <v>0</v>
      </c>
    </row>
    <row r="51" spans="1:11" x14ac:dyDescent="0.2">
      <c r="A51" s="158">
        <v>7</v>
      </c>
      <c r="B51" s="102" t="s">
        <v>72</v>
      </c>
      <c r="C51" s="5">
        <f>SUMIFS(Physician_Visit_December,Physician_Visit_Practice,December!B51,Physician_Visit_Hospitalists, "&lt;&gt;"&amp;'Physician Types'!$D$81)+SUMIFS(Physician_Visit_December,Physician_Visit_Practice,December!B51,Physician_Visit_Hospitalists,'Physician Types'!$D$81)*INDEX(Physician_Type_Hospitalists_Visit_Minutes,MATCH(December!B51,Physician_Type_Practice,0))/INDEX(Physician_Type_Visit_Minutes,MATCH(December!B51,Physician_Type_Practice,0)) +SUMIF(Physician_Minutes_Practice,December!B51,Physician_Minutes_December)/INDEX(Physician_Type_Visit_Minutes,MATCH(December!B51,Physician_Type_Practice,0))</f>
        <v>0</v>
      </c>
      <c r="D51" s="43">
        <f t="shared" si="5"/>
        <v>0</v>
      </c>
      <c r="E51" s="17">
        <f>INDEX(Physician_Type_Bed_Rate,MATCH(December!B51,Physician_Type_Practice,0))*'Hospital Input Page'!$C$4</f>
        <v>7974.4690016090053</v>
      </c>
      <c r="F51" s="9">
        <f t="shared" si="7"/>
        <v>0</v>
      </c>
      <c r="H51" s="5">
        <f>SUMIFS(Physician_Visit_December,Physician_Visit_Practice,December!B51,Independent_Contractor_Visits, "&lt;&gt;"&amp;'Physician Types'!$D$81)+SUMIFS(Physician_Visit_December,Physician_Visit_Practice,December!B51,Independent_Contractor_Visits,'Physician Types'!$D$81)*INDEX(Physician_Type_Hospitalists_Visit_Minutes,MATCH(December!B51,Physician_Type_Practice,0))/INDEX(Physician_Type_Visit_Minutes,MATCH(December!B51,Physician_Type_Practice,0)) +SUMIF(Physician_Minutes_Practice,December!B51,Physician_Minutes_December)/INDEX(Physician_Type_Visit_Minutes,MATCH(December!B51,Physician_Type_Practice,0))</f>
        <v>0</v>
      </c>
      <c r="I51" s="43">
        <f t="shared" si="6"/>
        <v>0</v>
      </c>
      <c r="J51" s="10">
        <f>E51*'Physician Types'!$E$4</f>
        <v>239.23407004827015</v>
      </c>
      <c r="K51" s="10">
        <f t="shared" si="8"/>
        <v>0</v>
      </c>
    </row>
    <row r="52" spans="1:11" x14ac:dyDescent="0.2">
      <c r="A52" s="158">
        <v>6</v>
      </c>
      <c r="B52" s="102" t="s">
        <v>69</v>
      </c>
      <c r="C52" s="5">
        <f>SUMIFS(Physician_Visit_December,Physician_Visit_Practice,December!B52,Physician_Visit_Hospitalists, "&lt;&gt;"&amp;'Physician Types'!$D$81)+SUMIFS(Physician_Visit_December,Physician_Visit_Practice,December!B52,Physician_Visit_Hospitalists,'Physician Types'!$D$81)*INDEX(Physician_Type_Hospitalists_Visit_Minutes,MATCH(December!B52,Physician_Type_Practice,0))/INDEX(Physician_Type_Visit_Minutes,MATCH(December!B52,Physician_Type_Practice,0)) +SUMIF(Physician_Minutes_Practice,December!B52,Physician_Minutes_December)/INDEX(Physician_Type_Visit_Minutes,MATCH(December!B52,Physician_Type_Practice,0))</f>
        <v>0</v>
      </c>
      <c r="D52" s="43">
        <f t="shared" si="5"/>
        <v>0</v>
      </c>
      <c r="E52" s="17">
        <f>INDEX(Physician_Type_Bed_Rate,MATCH(December!B52,Physician_Type_Practice,0))*'Hospital Input Page'!$C$4</f>
        <v>3534.4501619955722</v>
      </c>
      <c r="F52" s="9">
        <f t="shared" si="7"/>
        <v>0</v>
      </c>
      <c r="H52" s="5">
        <f>SUMIFS(Physician_Visit_December,Physician_Visit_Practice,December!B52,Independent_Contractor_Visits, "&lt;&gt;"&amp;'Physician Types'!$D$81)+SUMIFS(Physician_Visit_December,Physician_Visit_Practice,December!B52,Independent_Contractor_Visits,'Physician Types'!$D$81)*INDEX(Physician_Type_Hospitalists_Visit_Minutes,MATCH(December!B52,Physician_Type_Practice,0))/INDEX(Physician_Type_Visit_Minutes,MATCH(December!B52,Physician_Type_Practice,0)) +SUMIF(Physician_Minutes_Practice,December!B52,Physician_Minutes_December)/INDEX(Physician_Type_Visit_Minutes,MATCH(December!B52,Physician_Type_Practice,0))</f>
        <v>0</v>
      </c>
      <c r="I52" s="43">
        <f t="shared" si="6"/>
        <v>0</v>
      </c>
      <c r="J52" s="10">
        <f>E52*'Physician Types'!$E$4</f>
        <v>106.03350485986716</v>
      </c>
      <c r="K52" s="10">
        <f t="shared" si="8"/>
        <v>0</v>
      </c>
    </row>
    <row r="53" spans="1:11" x14ac:dyDescent="0.2">
      <c r="A53" s="158">
        <v>2</v>
      </c>
      <c r="B53" s="107" t="s">
        <v>35</v>
      </c>
      <c r="C53" s="5">
        <f>SUMIFS(Physician_Visit_December,Physician_Visit_Practice,December!B53,Physician_Visit_Hospitalists, "&lt;&gt;"&amp;'Physician Types'!$D$81)+SUMIFS(Physician_Visit_December,Physician_Visit_Practice,December!B53,Physician_Visit_Hospitalists,'Physician Types'!$D$81)*INDEX(Physician_Type_Hospitalists_Visit_Minutes,MATCH(December!B53,Physician_Type_Practice,0))/INDEX(Physician_Type_Visit_Minutes,MATCH(December!B53,Physician_Type_Practice,0)) +SUMIF(Physician_Minutes_Practice,December!B53,Physician_Minutes_December)/INDEX(Physician_Type_Visit_Minutes,MATCH(December!B53,Physician_Type_Practice,0))</f>
        <v>0</v>
      </c>
      <c r="D53" s="43">
        <f t="shared" si="5"/>
        <v>0</v>
      </c>
      <c r="E53" s="17">
        <f>INDEX(Physician_Type_Bed_Rate,MATCH(December!B53,Physician_Type_Practice,0))*'Hospital Input Page'!$C$4</f>
        <v>993.39322609373073</v>
      </c>
      <c r="F53" s="9">
        <f>C53*E53/100</f>
        <v>0</v>
      </c>
      <c r="H53" s="5">
        <f>SUMIFS(Physician_Visit_December,Physician_Visit_Practice,December!B53,Independent_Contractor_Visits, "&lt;&gt;"&amp;'Physician Types'!$D$81)+SUMIFS(Physician_Visit_December,Physician_Visit_Practice,December!B53,Independent_Contractor_Visits,'Physician Types'!$D$81)*INDEX(Physician_Type_Hospitalists_Visit_Minutes,MATCH(December!B53,Physician_Type_Practice,0))/INDEX(Physician_Type_Visit_Minutes,MATCH(December!B53,Physician_Type_Practice,0)) +SUMIF(Physician_Minutes_Practice,December!B53,Physician_Minutes_December)/INDEX(Physician_Type_Visit_Minutes,MATCH(December!B53,Physician_Type_Practice,0))</f>
        <v>0</v>
      </c>
      <c r="I53" s="43">
        <f t="shared" si="6"/>
        <v>0</v>
      </c>
      <c r="J53" s="10">
        <f>E53*'Physician Types'!$E$4</f>
        <v>29.80179678281192</v>
      </c>
      <c r="K53" s="10">
        <f t="shared" si="8"/>
        <v>0</v>
      </c>
    </row>
    <row r="54" spans="1:11" x14ac:dyDescent="0.2">
      <c r="A54" s="158"/>
      <c r="B54" s="161" t="s">
        <v>136</v>
      </c>
      <c r="C54" s="5">
        <f>SUMIFS(Physician_Visit_December,Physician_Visit_Practice,December!B54,Physician_Visit_Hospitalists, "&lt;&gt;"&amp;'Physician Types'!$D$81)+SUMIFS(Physician_Visit_December,Physician_Visit_Practice,December!B54,Physician_Visit_Hospitalists,'Physician Types'!$D$81)*INDEX(Physician_Type_Hospitalists_Visit_Minutes,MATCH(December!B54,Physician_Type_Practice,0))/INDEX(Physician_Type_Visit_Minutes,MATCH(December!B54,Physician_Type_Practice,0)) +SUMIF(Physician_Minutes_Practice,December!B54,Physician_Minutes_December)/INDEX(Physician_Type_Visit_Minutes,MATCH(December!B54,Physician_Type_Practice,0))</f>
        <v>71</v>
      </c>
      <c r="D54" s="43">
        <f t="shared" si="5"/>
        <v>0.10240581549645185</v>
      </c>
      <c r="E54" s="17">
        <f>INDEX(Physician_Type_Bed_Rate,MATCH(December!B54,Physician_Type_Practice,0))*'Hospital Input Page'!$C$4</f>
        <v>1727.2161200254454</v>
      </c>
      <c r="F54" s="9">
        <f>C54*E54/100</f>
        <v>1226.3234452180661</v>
      </c>
      <c r="H54" s="5">
        <f t="array" ref="H54">SUMIFS(Physician_Visit_December, Physician_Visit_Practice, December!B54, Independent_Contractor_Visits, 'Physician Types'!$D$81)</f>
        <v>1</v>
      </c>
      <c r="I54" s="43">
        <f t="shared" si="6"/>
        <v>1.4423354295274907E-3</v>
      </c>
      <c r="J54" s="10">
        <f>E54*'Physician Types'!$E$4</f>
        <v>51.816483600763362</v>
      </c>
      <c r="K54" s="10">
        <f t="shared" si="8"/>
        <v>7.4736750130911203E-2</v>
      </c>
    </row>
    <row r="55" spans="1:11" x14ac:dyDescent="0.2">
      <c r="A55" s="158">
        <v>2</v>
      </c>
      <c r="B55" s="107" t="s">
        <v>36</v>
      </c>
      <c r="C55" s="5">
        <f>SUMIFS(Physician_Visit_December,Physician_Visit_Practice,December!B55,Physician_Visit_Hospitalists, "&lt;&gt;"&amp;'Physician Types'!$D$81)+SUMIFS(Physician_Visit_December,Physician_Visit_Practice,December!B55,Physician_Visit_Hospitalists,'Physician Types'!$D$81)*INDEX(Physician_Type_Hospitalists_Visit_Minutes,MATCH(December!B55,Physician_Type_Practice,0))/INDEX(Physician_Type_Visit_Minutes,MATCH(December!B55,Physician_Type_Practice,0)) +SUMIF(Physician_Minutes_Practice,December!B55,Physician_Minutes_December)/INDEX(Physician_Type_Visit_Minutes,MATCH(December!B55,Physician_Type_Practice,0))</f>
        <v>0</v>
      </c>
      <c r="D55" s="43">
        <f t="shared" si="5"/>
        <v>0</v>
      </c>
      <c r="E55" s="17">
        <f>INDEX(Physician_Type_Bed_Rate,MATCH(December!B55,Physician_Type_Practice,0))*'Hospital Input Page'!$C$4</f>
        <v>2544.9602491674359</v>
      </c>
      <c r="F55" s="9">
        <f t="shared" si="7"/>
        <v>0</v>
      </c>
      <c r="H55" s="5">
        <f>SUMIFS(Physician_Visit_December,Physician_Visit_Practice,December!B55,Independent_Contractor_Visits, "&lt;&gt;"&amp;'Physician Types'!$D$81)+SUMIFS(Physician_Visit_December,Physician_Visit_Practice,December!B55,Independent_Contractor_Visits,'Physician Types'!$D$81)*INDEX(Physician_Type_Hospitalists_Visit_Minutes,MATCH(December!B55,Physician_Type_Practice,0))/INDEX(Physician_Type_Visit_Minutes,MATCH(December!B55,Physician_Type_Practice,0)) +SUMIF(Physician_Minutes_Practice,December!B55,Physician_Minutes_December)/INDEX(Physician_Type_Visit_Minutes,MATCH(December!B55,Physician_Type_Practice,0))</f>
        <v>0</v>
      </c>
      <c r="I55" s="43">
        <f t="shared" si="6"/>
        <v>0</v>
      </c>
      <c r="J55" s="10">
        <f>E55*'Physician Types'!$E$4</f>
        <v>76.348807475023079</v>
      </c>
      <c r="K55" s="10">
        <f t="shared" si="8"/>
        <v>0</v>
      </c>
    </row>
    <row r="56" spans="1:11" x14ac:dyDescent="0.2">
      <c r="A56" s="158">
        <v>2</v>
      </c>
      <c r="B56" s="107" t="s">
        <v>37</v>
      </c>
      <c r="C56" s="5">
        <f>SUMIFS(Physician_Visit_December,Physician_Visit_Practice,December!B56,Physician_Visit_Hospitalists, "&lt;&gt;"&amp;'Physician Types'!$D$81)+SUMIFS(Physician_Visit_December,Physician_Visit_Practice,December!B56,Physician_Visit_Hospitalists,'Physician Types'!$D$81)*INDEX(Physician_Type_Hospitalists_Visit_Minutes,MATCH(December!B56,Physician_Type_Practice,0))/INDEX(Physician_Type_Visit_Minutes,MATCH(December!B56,Physician_Type_Practice,0)) +SUMIF(Physician_Minutes_Practice,December!B56,Physician_Minutes_December)/INDEX(Physician_Type_Visit_Minutes,MATCH(December!B56,Physician_Type_Practice,0))</f>
        <v>0</v>
      </c>
      <c r="D56" s="43">
        <f t="shared" si="5"/>
        <v>0</v>
      </c>
      <c r="E56" s="17">
        <f>INDEX(Physician_Type_Bed_Rate,MATCH(December!B56,Physician_Type_Practice,0))*'Hospital Input Page'!$C$4</f>
        <v>1567.1802761360821</v>
      </c>
      <c r="F56" s="9">
        <f t="shared" si="7"/>
        <v>0</v>
      </c>
      <c r="H56" s="5">
        <f t="array" ref="H56">SUMIFS(Physician_Visit_December, Physician_Visit_Practice, December!B56, Independent_Contractor_Visits,  'Physician Types'!$D$81) + SUMIFS(Physician_Minutes_December,Physician_Minutes_Practice,December!B56, Independent_Contractor_Minutes, 'Physician Types'!$D$81)/INDEX(Physician_Type_Visit_Minutes,MATCH(December!B56,Physician_Type_Practice,0))</f>
        <v>0</v>
      </c>
      <c r="I56" s="43">
        <f t="shared" si="6"/>
        <v>0</v>
      </c>
      <c r="J56" s="10">
        <f>E56*'Physician Types'!$E$4</f>
        <v>47.015408284082461</v>
      </c>
      <c r="K56" s="10">
        <f t="shared" si="8"/>
        <v>0</v>
      </c>
    </row>
    <row r="57" spans="1:11" x14ac:dyDescent="0.2">
      <c r="A57" s="158">
        <v>2</v>
      </c>
      <c r="B57" s="107" t="s">
        <v>38</v>
      </c>
      <c r="C57" s="5">
        <f>SUMIFS(Physician_Visit_December,Physician_Visit_Practice,December!B57,Physician_Visit_Hospitalists, "&lt;&gt;"&amp;'Physician Types'!$D$81)+SUMIFS(Physician_Visit_December,Physician_Visit_Practice,December!B57,Physician_Visit_Hospitalists,'Physician Types'!$D$81)*INDEX(Physician_Type_Hospitalists_Visit_Minutes,MATCH(December!B57,Physician_Type_Practice,0))/INDEX(Physician_Type_Visit_Minutes,MATCH(December!B57,Physician_Type_Practice,0)) +SUMIF(Physician_Minutes_Practice,December!B57,Physician_Minutes_December)/INDEX(Physician_Type_Visit_Minutes,MATCH(December!B57,Physician_Type_Practice,0))</f>
        <v>0</v>
      </c>
      <c r="D57" s="43">
        <f t="shared" si="5"/>
        <v>0</v>
      </c>
      <c r="E57" s="17">
        <f>INDEX(Physician_Type_Bed_Rate,MATCH(December!B57,Physician_Type_Practice,0))*'Hospital Input Page'!$C$4</f>
        <v>4399.0340503246935</v>
      </c>
      <c r="F57" s="9">
        <f t="shared" si="7"/>
        <v>0</v>
      </c>
      <c r="H57" s="5">
        <f t="array" ref="H57">SUMIFS(Physician_Visit_December, Physician_Visit_Practice, December!B57, Independent_Contractor_Visits,  'Physician Types'!$D$81) + SUMIFS(Physician_Minutes_December,Physician_Minutes_Practice,December!B57, Independent_Contractor_Minutes, 'Physician Types'!$D$81)/INDEX(Physician_Type_Visit_Minutes,MATCH(December!B57,Physician_Type_Practice,0))</f>
        <v>0</v>
      </c>
      <c r="I57" s="43">
        <f t="shared" si="6"/>
        <v>0</v>
      </c>
      <c r="J57" s="10">
        <f>E57*'Physician Types'!$E$4</f>
        <v>131.97102150974081</v>
      </c>
      <c r="K57" s="10">
        <f t="shared" si="8"/>
        <v>0</v>
      </c>
    </row>
    <row r="58" spans="1:11" x14ac:dyDescent="0.2">
      <c r="A58" s="158">
        <v>3</v>
      </c>
      <c r="B58" s="161" t="s">
        <v>155</v>
      </c>
      <c r="C58" s="5">
        <f>SUMIFS(Physician_Visit_December,Physician_Visit_Practice,December!B58,Physician_Visit_Hospitalists, "&lt;&gt;"&amp;'Physician Types'!$D$81)+SUMIFS(Physician_Visit_December,Physician_Visit_Practice,December!B58,Physician_Visit_Hospitalists,'Physician Types'!$D$81)*INDEX(Physician_Type_Hospitalists_Visit_Minutes,MATCH(December!B58,Physician_Type_Practice,0))/INDEX(Physician_Type_Visit_Minutes,MATCH(December!B58,Physician_Type_Practice,0)) +SUMIF(Physician_Minutes_Practice,December!B58,Physician_Minutes_December)/INDEX(Physician_Type_Visit_Minutes,MATCH(December!B58,Physician_Type_Practice,0))</f>
        <v>273</v>
      </c>
      <c r="D58" s="43">
        <f t="shared" si="5"/>
        <v>0.52501009634800666</v>
      </c>
      <c r="E58" s="17">
        <f>INDEX(Physician_Type_Bed_Rate,MATCH(December!B58,Physician_Type_Practice,0))*'Hospital Input Page'!$C$4</f>
        <v>1951.6566327971132</v>
      </c>
      <c r="F58" s="9">
        <f t="shared" si="7"/>
        <v>1024.6394368230387</v>
      </c>
      <c r="H58" s="5">
        <f t="array" ref="H58">SUMIFS(Physician_Visit_December, Physician_Visit_Practice, December!B58, Independent_Contractor_Visits,  'Physician Types'!$D$81) + SUMIFS(Physician_Minutes_December,Physician_Minutes_Practice,December!B58, Independent_Contractor_Minutes, 'Physician Types'!$D$81)/INDEX(Physician_Type_Visit_Minutes,MATCH(December!B58,Physician_Type_Practice,0))</f>
        <v>0</v>
      </c>
      <c r="I58" s="43">
        <f t="shared" si="6"/>
        <v>0</v>
      </c>
      <c r="J58" s="10">
        <f>E58*'Physician Types'!$E$4</f>
        <v>58.549698983913395</v>
      </c>
      <c r="K58" s="10">
        <f t="shared" si="8"/>
        <v>0</v>
      </c>
    </row>
    <row r="59" spans="1:11" x14ac:dyDescent="0.2">
      <c r="A59" s="158">
        <v>5</v>
      </c>
      <c r="B59" s="161" t="s">
        <v>137</v>
      </c>
      <c r="C59" s="5">
        <f>SUMIFS(Physician_Visit_December,Physician_Visit_Practice,December!B59,Physician_Visit_Hospitalists, "&lt;&gt;"&amp;'Physician Types'!$D$81)+SUMIFS(Physician_Visit_December,Physician_Visit_Practice,December!B59,Physician_Visit_Hospitalists,'Physician Types'!$D$81)*INDEX(Physician_Type_Hospitalists_Visit_Minutes,MATCH(December!B59,Physician_Type_Practice,0))/INDEX(Physician_Type_Visit_Minutes,MATCH(December!B59,Physician_Type_Practice,0)) +SUMIF(Physician_Minutes_Practice,December!B59,Physician_Minutes_December)/INDEX(Physician_Type_Visit_Minutes,MATCH(December!B59,Physician_Type_Practice,0))</f>
        <v>0</v>
      </c>
      <c r="D59" s="43">
        <f t="shared" si="5"/>
        <v>0</v>
      </c>
      <c r="E59" s="17">
        <f>INDEX(Physician_Type_Bed_Rate,MATCH(December!B59,Physician_Type_Practice,0))*'Hospital Input Page'!$C$4</f>
        <v>4933.7879677111023</v>
      </c>
      <c r="F59" s="9">
        <f t="shared" si="7"/>
        <v>0</v>
      </c>
      <c r="H59" s="5">
        <f t="array" ref="H59">SUMIFS(Physician_Visit_December, Physician_Visit_Practice, December!B59, Independent_Contractor_Visits,  'Physician Types'!$D$81) + SUMIFS(Physician_Minutes_December,Physician_Minutes_Practice,December!B59, Independent_Contractor_Minutes, 'Physician Types'!$D$81)/INDEX(Physician_Type_Visit_Minutes,MATCH(December!B59,Physician_Type_Practice,0))</f>
        <v>0</v>
      </c>
      <c r="I59" s="43">
        <f t="shared" si="6"/>
        <v>0</v>
      </c>
      <c r="J59" s="10">
        <f>E59*'Physician Types'!$E$4</f>
        <v>148.01363903133307</v>
      </c>
      <c r="K59" s="10">
        <f t="shared" si="8"/>
        <v>0</v>
      </c>
    </row>
    <row r="60" spans="1:11" x14ac:dyDescent="0.2">
      <c r="A60" s="158">
        <v>6</v>
      </c>
      <c r="B60" s="102" t="s">
        <v>70</v>
      </c>
      <c r="C60" s="5">
        <f>SUMIFS(Physician_Visit_December,Physician_Visit_Practice,December!B60,Physician_Visit_Hospitalists, "&lt;&gt;"&amp;'Physician Types'!$D$81)+SUMIFS(Physician_Visit_December,Physician_Visit_Practice,December!B60,Physician_Visit_Hospitalists,'Physician Types'!$D$81)*INDEX(Physician_Type_Hospitalists_Visit_Minutes,MATCH(December!B60,Physician_Type_Practice,0))/INDEX(Physician_Type_Visit_Minutes,MATCH(December!B60,Physician_Type_Practice,0)) +SUMIF(Physician_Minutes_Practice,December!B60,Physician_Minutes_December)/INDEX(Physician_Type_Visit_Minutes,MATCH(December!B60,Physician_Type_Practice,0))</f>
        <v>0</v>
      </c>
      <c r="D60" s="43">
        <f t="shared" si="5"/>
        <v>0</v>
      </c>
      <c r="E60" s="17">
        <f>INDEX(Physician_Type_Bed_Rate,MATCH(December!B60,Physician_Type_Practice,0))*'Hospital Input Page'!$C$4</f>
        <v>5179.6967034435384</v>
      </c>
      <c r="F60" s="9">
        <f t="shared" si="7"/>
        <v>0</v>
      </c>
      <c r="H60" s="5">
        <f t="array" ref="H60">SUMIFS(Physician_Visit_December, Physician_Visit_Practice, December!B60, Independent_Contractor_Visits,  'Physician Types'!$D$81) + SUMIFS(Physician_Minutes_December,Physician_Minutes_Practice,December!B60, Independent_Contractor_Minutes, 'Physician Types'!$D$81)/INDEX(Physician_Type_Visit_Minutes,MATCH(December!B60,Physician_Type_Practice,0))</f>
        <v>0</v>
      </c>
      <c r="I60" s="43">
        <f t="shared" si="6"/>
        <v>0</v>
      </c>
      <c r="J60" s="10">
        <f>E60*'Physician Types'!$E$4</f>
        <v>155.39090110330613</v>
      </c>
      <c r="K60" s="10">
        <f t="shared" si="8"/>
        <v>0</v>
      </c>
    </row>
    <row r="61" spans="1:11" x14ac:dyDescent="0.2">
      <c r="A61" s="158">
        <v>2</v>
      </c>
      <c r="B61" s="107" t="s">
        <v>39</v>
      </c>
      <c r="C61" s="5">
        <f>SUMIFS(Physician_Visit_December,Physician_Visit_Practice,December!B61,Physician_Visit_Hospitalists, "&lt;&gt;"&amp;'Physician Types'!$D$81)+SUMIFS(Physician_Visit_December,Physician_Visit_Practice,December!B61,Physician_Visit_Hospitalists,'Physician Types'!$D$81)*INDEX(Physician_Type_Hospitalists_Visit_Minutes,MATCH(December!B61,Physician_Type_Practice,0))/INDEX(Physician_Type_Visit_Minutes,MATCH(December!B61,Physician_Type_Practice,0)) +SUMIF(Physician_Minutes_Practice,December!B61,Physician_Minutes_December)/INDEX(Physician_Type_Visit_Minutes,MATCH(December!B61,Physician_Type_Practice,0))</f>
        <v>0</v>
      </c>
      <c r="D61" s="43">
        <f t="shared" si="5"/>
        <v>0</v>
      </c>
      <c r="E61" s="17">
        <f>INDEX(Physician_Type_Bed_Rate,MATCH(December!B61,Physician_Type_Practice,0))*'Hospital Input Page'!$C$4</f>
        <v>2539.1052792690443</v>
      </c>
      <c r="F61" s="9">
        <f t="shared" si="7"/>
        <v>0</v>
      </c>
      <c r="H61" s="5">
        <f t="array" ref="H61">SUMIFS(Physician_Visit_December, Physician_Visit_Practice, December!B61, Independent_Contractor_Visits,  'Physician Types'!$D$81) + SUMIFS(Physician_Minutes_December,Physician_Minutes_Practice,December!B61, Independent_Contractor_Minutes, 'Physician Types'!$D$81)/INDEX(Physician_Type_Visit_Minutes,MATCH(December!B61,Physician_Type_Practice,0))</f>
        <v>0</v>
      </c>
      <c r="I61" s="43">
        <f t="shared" si="6"/>
        <v>0</v>
      </c>
      <c r="J61" s="10">
        <f>E61*'Physician Types'!$E$4</f>
        <v>76.173158378071321</v>
      </c>
      <c r="K61" s="10">
        <f t="shared" si="8"/>
        <v>0</v>
      </c>
    </row>
    <row r="62" spans="1:11" x14ac:dyDescent="0.2">
      <c r="A62" s="158">
        <v>2</v>
      </c>
      <c r="B62" s="107" t="s">
        <v>40</v>
      </c>
      <c r="C62" s="5">
        <f>SUMIFS(Physician_Visit_December,Physician_Visit_Practice,December!B62,Physician_Visit_Hospitalists, "&lt;&gt;"&amp;'Physician Types'!$D$81)+SUMIFS(Physician_Visit_December,Physician_Visit_Practice,December!B62,Physician_Visit_Hospitalists,'Physician Types'!$D$81)*INDEX(Physician_Type_Hospitalists_Visit_Minutes,MATCH(December!B62,Physician_Type_Practice,0))/INDEX(Physician_Type_Visit_Minutes,MATCH(December!B62,Physician_Type_Practice,0)) +SUMIF(Physician_Minutes_Practice,December!B62,Physician_Minutes_December)/INDEX(Physician_Type_Visit_Minutes,MATCH(December!B62,Physician_Type_Practice,0))</f>
        <v>0</v>
      </c>
      <c r="D62" s="43">
        <f t="shared" si="5"/>
        <v>0</v>
      </c>
      <c r="E62" s="17">
        <f>INDEX(Physician_Type_Bed_Rate,MATCH(December!B62,Physician_Type_Practice,0))*'Hospital Input Page'!$C$4</f>
        <v>1619.8750052216039</v>
      </c>
      <c r="F62" s="9">
        <f t="shared" si="7"/>
        <v>0</v>
      </c>
      <c r="H62" s="5">
        <f t="array" ref="H62">SUMIFS(Physician_Visit_December, Physician_Visit_Practice, December!B62, Independent_Contractor_Visits,  'Physician Types'!$D$81) + SUMIFS(Physician_Minutes_December,Physician_Minutes_Practice,December!B62, Independent_Contractor_Minutes, 'Physician Types'!$D$81)/INDEX(Physician_Type_Visit_Minutes,MATCH(December!B62,Physician_Type_Practice,0))</f>
        <v>0</v>
      </c>
      <c r="I62" s="43">
        <f t="shared" si="6"/>
        <v>0</v>
      </c>
      <c r="J62" s="10">
        <f>E62*'Physician Types'!$E$4</f>
        <v>48.596250156648118</v>
      </c>
      <c r="K62" s="10">
        <f t="shared" si="8"/>
        <v>0</v>
      </c>
    </row>
    <row r="63" spans="1:11" x14ac:dyDescent="0.2">
      <c r="A63" s="158">
        <v>2</v>
      </c>
      <c r="B63" s="107" t="s">
        <v>41</v>
      </c>
      <c r="C63" s="5">
        <f>SUMIFS(Physician_Visit_December,Physician_Visit_Practice,December!B63,Physician_Visit_Hospitalists, "&lt;&gt;"&amp;'Physician Types'!$D$81)+SUMIFS(Physician_Visit_December,Physician_Visit_Practice,December!B63,Physician_Visit_Hospitalists,'Physician Types'!$D$81)*INDEX(Physician_Type_Hospitalists_Visit_Minutes,MATCH(December!B63,Physician_Type_Practice,0))/INDEX(Physician_Type_Visit_Minutes,MATCH(December!B63,Physician_Type_Practice,0)) +SUMIF(Physician_Minutes_Practice,December!B63,Physician_Minutes_December)/INDEX(Physician_Type_Visit_Minutes,MATCH(December!B63,Physician_Type_Practice,0))</f>
        <v>0</v>
      </c>
      <c r="D63" s="43">
        <f t="shared" si="5"/>
        <v>0</v>
      </c>
      <c r="E63" s="17">
        <f>INDEX(Physician_Type_Bed_Rate,MATCH(December!B63,Physician_Type_Practice,0))*'Hospital Input Page'!$C$4</f>
        <v>4844.0117626024357</v>
      </c>
      <c r="F63" s="9">
        <f t="shared" si="7"/>
        <v>0</v>
      </c>
      <c r="H63" s="5">
        <f t="array" ref="H63">SUMIFS(Physician_Visit_December, Physician_Visit_Practice, December!B63, Independent_Contractor_Visits,  'Physician Types'!$D$81) + SUMIFS(Physician_Minutes_December,Physician_Minutes_Practice,December!B63, Independent_Contractor_Minutes, 'Physician Types'!$D$81)/INDEX(Physician_Type_Visit_Minutes,MATCH(December!B63,Physician_Type_Practice,0))</f>
        <v>0</v>
      </c>
      <c r="I63" s="43">
        <f t="shared" si="6"/>
        <v>0</v>
      </c>
      <c r="J63" s="10">
        <f>E63*'Physician Types'!$E$4</f>
        <v>145.32035287807307</v>
      </c>
      <c r="K63" s="10">
        <f t="shared" si="8"/>
        <v>0</v>
      </c>
    </row>
    <row r="64" spans="1:11" x14ac:dyDescent="0.2">
      <c r="A64" s="158">
        <v>6</v>
      </c>
      <c r="B64" s="128" t="s">
        <v>138</v>
      </c>
      <c r="C64" s="5">
        <f>SUMIFS(Physician_Visit_December,Physician_Visit_Practice,December!B64,Physician_Visit_Hospitalists, "&lt;&gt;"&amp;'Physician Types'!$D$81)+SUMIFS(Physician_Visit_December,Physician_Visit_Practice,December!B64,Physician_Visit_Hospitalists,'Physician Types'!$D$81)*INDEX(Physician_Type_Hospitalists_Visit_Minutes,MATCH(December!B64,Physician_Type_Practice,0))/INDEX(Physician_Type_Visit_Minutes,MATCH(December!B64,Physician_Type_Practice,0)) +SUMIF(Physician_Minutes_Practice,December!B64,Physician_Minutes_December)/INDEX(Physician_Type_Visit_Minutes,MATCH(December!B64,Physician_Type_Practice,0))</f>
        <v>0</v>
      </c>
      <c r="D64" s="43">
        <f t="shared" si="5"/>
        <v>0</v>
      </c>
      <c r="E64" s="17">
        <f>INDEX(Physician_Type_Bed_Rate,MATCH(December!B64,Physician_Type_Practice,0))*'Hospital Input Page'!$C$4</f>
        <v>5782.7586029778467</v>
      </c>
      <c r="F64" s="9">
        <f t="shared" si="7"/>
        <v>0</v>
      </c>
      <c r="H64" s="5">
        <f t="array" ref="H64">SUMIFS(Physician_Visit_December, Physician_Visit_Practice, December!B64, Independent_Contractor_Visits,  'Physician Types'!$D$81) + SUMIFS(Physician_Minutes_December,Physician_Minutes_Practice,December!B64, Independent_Contractor_Minutes, 'Physician Types'!$D$81)/INDEX(Physician_Type_Visit_Minutes,MATCH(December!B64,Physician_Type_Practice,0))</f>
        <v>0</v>
      </c>
      <c r="I64" s="43">
        <f t="shared" si="6"/>
        <v>0</v>
      </c>
      <c r="J64" s="10">
        <f>E64*'Physician Types'!$E$4</f>
        <v>173.48275808933539</v>
      </c>
      <c r="K64" s="10">
        <f t="shared" si="8"/>
        <v>0</v>
      </c>
    </row>
    <row r="65" spans="1:11" x14ac:dyDescent="0.2">
      <c r="A65" s="158">
        <v>2</v>
      </c>
      <c r="B65" s="107" t="s">
        <v>42</v>
      </c>
      <c r="C65" s="5">
        <f>SUMIFS(Physician_Visit_December,Physician_Visit_Practice,December!B65,Physician_Visit_Hospitalists, "&lt;&gt;"&amp;'Physician Types'!$D$81)+SUMIFS(Physician_Visit_December,Physician_Visit_Practice,December!B65,Physician_Visit_Hospitalists,'Physician Types'!$D$81)*INDEX(Physician_Type_Hospitalists_Visit_Minutes,MATCH(December!B65,Physician_Type_Practice,0))/INDEX(Physician_Type_Visit_Minutes,MATCH(December!B65,Physician_Type_Practice,0)) +SUMIF(Physician_Minutes_Practice,December!B65,Physician_Minutes_December)/INDEX(Physician_Type_Visit_Minutes,MATCH(December!B65,Physician_Type_Practice,0))</f>
        <v>0</v>
      </c>
      <c r="D65" s="43">
        <f t="shared" si="5"/>
        <v>0</v>
      </c>
      <c r="E65" s="17">
        <f>INDEX(Physician_Type_Bed_Rate,MATCH(December!B65,Physician_Type_Practice,0))*'Hospital Input Page'!$C$4</f>
        <v>1487.1623541914003</v>
      </c>
      <c r="F65" s="9">
        <f t="shared" si="7"/>
        <v>0</v>
      </c>
      <c r="H65" s="5">
        <f t="array" ref="H65">SUMIFS(Physician_Visit_December, Physician_Visit_Practice, December!B65, Independent_Contractor_Visits,  'Physician Types'!$D$81) + SUMIFS(Physician_Minutes_December,Physician_Minutes_Practice,December!B65, Independent_Contractor_Minutes, 'Physician Types'!$D$81)/INDEX(Physician_Type_Visit_Minutes,MATCH(December!B65,Physician_Type_Practice,0))</f>
        <v>0</v>
      </c>
      <c r="I65" s="43">
        <f t="shared" si="6"/>
        <v>0</v>
      </c>
      <c r="J65" s="10">
        <f>E65*'Physician Types'!$E$4</f>
        <v>44.614870625742007</v>
      </c>
      <c r="K65" s="10">
        <f t="shared" si="8"/>
        <v>0</v>
      </c>
    </row>
    <row r="66" spans="1:11" x14ac:dyDescent="0.2">
      <c r="A66" s="158">
        <v>5</v>
      </c>
      <c r="B66" s="102" t="s">
        <v>64</v>
      </c>
      <c r="C66" s="5">
        <f>SUMIFS(Physician_Visit_December,Physician_Visit_Practice,December!B66,Physician_Visit_Hospitalists, "&lt;&gt;"&amp;'Physician Types'!$D$81)+SUMIFS(Physician_Visit_December,Physician_Visit_Practice,December!B66,Physician_Visit_Hospitalists,'Physician Types'!$D$81)*INDEX(Physician_Type_Hospitalists_Visit_Minutes,MATCH(December!B66,Physician_Type_Practice,0))/INDEX(Physician_Type_Visit_Minutes,MATCH(December!B66,Physician_Type_Practice,0)) +SUMIF(Physician_Minutes_Practice,December!B66,Physician_Minutes_December)/INDEX(Physician_Type_Visit_Minutes,MATCH(December!B66,Physician_Type_Practice,0))</f>
        <v>0</v>
      </c>
      <c r="D66" s="43">
        <f t="shared" si="5"/>
        <v>0</v>
      </c>
      <c r="E66" s="17">
        <f>INDEX(Physician_Type_Bed_Rate,MATCH(December!B66,Physician_Type_Practice,0))*'Hospital Input Page'!$C$4</f>
        <v>2406.3926282388406</v>
      </c>
      <c r="F66" s="9">
        <f t="shared" si="7"/>
        <v>0</v>
      </c>
      <c r="H66" s="5">
        <f t="array" ref="H66">SUMIFS(Physician_Visit_December, Physician_Visit_Practice, December!B66, Independent_Contractor_Visits,  'Physician Types'!$D$81) + SUMIFS(Physician_Minutes_December,Physician_Minutes_Practice,December!B66, Independent_Contractor_Minutes, 'Physician Types'!$D$81)/INDEX(Physician_Type_Visit_Minutes,MATCH(December!B66,Physician_Type_Practice,0))</f>
        <v>0</v>
      </c>
      <c r="I66" s="43">
        <f t="shared" si="6"/>
        <v>0</v>
      </c>
      <c r="J66" s="10">
        <f>E66*'Physician Types'!$E$4</f>
        <v>72.19177884716521</v>
      </c>
      <c r="K66" s="10">
        <f t="shared" si="8"/>
        <v>0</v>
      </c>
    </row>
    <row r="67" spans="1:11" x14ac:dyDescent="0.2">
      <c r="A67" s="158">
        <v>5</v>
      </c>
      <c r="B67" s="102" t="s">
        <v>65</v>
      </c>
      <c r="C67" s="5">
        <f>SUMIFS(Physician_Visit_December,Physician_Visit_Practice,December!B67,Physician_Visit_Hospitalists, "&lt;&gt;"&amp;'Physician Types'!$D$81)+SUMIFS(Physician_Visit_December,Physician_Visit_Practice,December!B67,Physician_Visit_Hospitalists,'Physician Types'!$D$81)*INDEX(Physician_Type_Hospitalists_Visit_Minutes,MATCH(December!B67,Physician_Type_Practice,0))/INDEX(Physician_Type_Visit_Minutes,MATCH(December!B67,Physician_Type_Practice,0)) +SUMIF(Physician_Minutes_Practice,December!B67,Physician_Minutes_December)/INDEX(Physician_Type_Visit_Minutes,MATCH(December!B67,Physician_Type_Practice,0))</f>
        <v>0</v>
      </c>
      <c r="D67" s="43">
        <f t="shared" si="5"/>
        <v>0</v>
      </c>
      <c r="E67" s="17">
        <f>INDEX(Physician_Type_Bed_Rate,MATCH(December!B67,Physician_Type_Practice,0))*'Hospital Input Page'!$C$4</f>
        <v>1487.1623541914003</v>
      </c>
      <c r="F67" s="9">
        <f t="shared" si="7"/>
        <v>0</v>
      </c>
      <c r="H67" s="5">
        <f t="array" ref="H67">SUMIFS(Physician_Visit_December, Physician_Visit_Practice, December!B67, Independent_Contractor_Visits,  'Physician Types'!$D$81) + SUMIFS(Physician_Minutes_December,Physician_Minutes_Practice,December!B67, Independent_Contractor_Minutes, 'Physician Types'!$D$81)/INDEX(Physician_Type_Visit_Minutes,MATCH(December!B67,Physician_Type_Practice,0))</f>
        <v>0</v>
      </c>
      <c r="I67" s="43">
        <f t="shared" si="6"/>
        <v>0</v>
      </c>
      <c r="J67" s="10">
        <f>E67*'Physician Types'!$E$4</f>
        <v>44.614870625742007</v>
      </c>
      <c r="K67" s="10">
        <f t="shared" si="8"/>
        <v>0</v>
      </c>
    </row>
    <row r="68" spans="1:11" x14ac:dyDescent="0.2">
      <c r="A68" s="158">
        <v>5</v>
      </c>
      <c r="B68" s="102" t="s">
        <v>66</v>
      </c>
      <c r="C68" s="5">
        <f>SUMIFS(Physician_Visit_December,Physician_Visit_Practice,December!B68,Physician_Visit_Hospitalists, "&lt;&gt;"&amp;'Physician Types'!$D$81)+SUMIFS(Physician_Visit_December,Physician_Visit_Practice,December!B68,Physician_Visit_Hospitalists,'Physician Types'!$D$81)*INDEX(Physician_Type_Hospitalists_Visit_Minutes,MATCH(December!B68,Physician_Type_Practice,0))/INDEX(Physician_Type_Visit_Minutes,MATCH(December!B68,Physician_Type_Practice,0)) +SUMIF(Physician_Minutes_Practice,December!B68,Physician_Minutes_December)/INDEX(Physician_Type_Visit_Minutes,MATCH(December!B68,Physician_Type_Practice,0))</f>
        <v>0</v>
      </c>
      <c r="D68" s="43">
        <f t="shared" si="5"/>
        <v>0</v>
      </c>
      <c r="E68" s="17">
        <f>INDEX(Physician_Type_Bed_Rate,MATCH(December!B68,Physician_Type_Practice,0))*'Hospital Input Page'!$C$4</f>
        <v>4644.9427860571295</v>
      </c>
      <c r="F68" s="9">
        <f t="shared" si="7"/>
        <v>0</v>
      </c>
      <c r="H68" s="5">
        <f t="array" ref="H68">SUMIFS(Physician_Visit_December, Physician_Visit_Practice, December!B68, Independent_Contractor_Visits,  'Physician Types'!$D$81) + SUMIFS(Physician_Minutes_December,Physician_Minutes_Practice,December!B68, Independent_Contractor_Minutes, 'Physician Types'!$D$81)/INDEX(Physician_Type_Visit_Minutes,MATCH(December!B68,Physician_Type_Practice,0))</f>
        <v>0</v>
      </c>
      <c r="I68" s="43">
        <f t="shared" si="6"/>
        <v>0</v>
      </c>
      <c r="J68" s="10">
        <f>E68*'Physician Types'!$E$4</f>
        <v>139.34828358171387</v>
      </c>
      <c r="K68" s="10">
        <f t="shared" si="8"/>
        <v>0</v>
      </c>
    </row>
    <row r="69" spans="1:11" x14ac:dyDescent="0.2">
      <c r="A69" s="158">
        <v>2</v>
      </c>
      <c r="B69" s="107" t="s">
        <v>43</v>
      </c>
      <c r="C69" s="5">
        <f>SUMIFS(Physician_Visit_December,Physician_Visit_Practice,December!B69,Physician_Visit_Hospitalists, "&lt;&gt;"&amp;'Physician Types'!$D$81)+SUMIFS(Physician_Visit_December,Physician_Visit_Practice,December!B69,Physician_Visit_Hospitalists,'Physician Types'!$D$81)*INDEX(Physician_Type_Hospitalists_Visit_Minutes,MATCH(December!B69,Physician_Type_Practice,0))/INDEX(Physician_Type_Visit_Minutes,MATCH(December!B69,Physician_Type_Practice,0)) +SUMIF(Physician_Minutes_Practice,December!B69,Physician_Minutes_December)/INDEX(Physician_Type_Visit_Minutes,MATCH(December!B69,Physician_Type_Practice,0))</f>
        <v>0</v>
      </c>
      <c r="D69" s="43">
        <f t="shared" si="5"/>
        <v>0</v>
      </c>
      <c r="E69" s="17">
        <f>INDEX(Physician_Type_Bed_Rate,MATCH(December!B69,Physician_Type_Practice,0))*'Hospital Input Page'!$C$4</f>
        <v>2539.1052792690443</v>
      </c>
      <c r="F69" s="9">
        <f t="shared" si="7"/>
        <v>0</v>
      </c>
      <c r="H69" s="5">
        <f t="array" ref="H69">SUMIFS(Physician_Visit_December, Physician_Visit_Practice, December!B69, Independent_Contractor_Visits,  'Physician Types'!$D$81) + SUMIFS(Physician_Minutes_December,Physician_Minutes_Practice,December!B69, Independent_Contractor_Minutes, 'Physician Types'!$D$81)/INDEX(Physician_Type_Visit_Minutes,MATCH(December!B69,Physician_Type_Practice,0))</f>
        <v>0</v>
      </c>
      <c r="I69" s="43">
        <f t="shared" si="6"/>
        <v>0</v>
      </c>
      <c r="J69" s="10">
        <f>E69*'Physician Types'!$E$4</f>
        <v>76.173158378071321</v>
      </c>
      <c r="K69" s="10">
        <f t="shared" si="8"/>
        <v>0</v>
      </c>
    </row>
    <row r="70" spans="1:11" x14ac:dyDescent="0.2">
      <c r="A70" s="158">
        <v>2</v>
      </c>
      <c r="B70" s="107" t="s">
        <v>44</v>
      </c>
      <c r="C70" s="5">
        <f>SUMIFS(Physician_Visit_December,Physician_Visit_Practice,December!B70,Physician_Visit_Hospitalists, "&lt;&gt;"&amp;'Physician Types'!$D$81)+SUMIFS(Physician_Visit_December,Physician_Visit_Practice,December!B70,Physician_Visit_Hospitalists,'Physician Types'!$D$81)*INDEX(Physician_Type_Hospitalists_Visit_Minutes,MATCH(December!B70,Physician_Type_Practice,0))/INDEX(Physician_Type_Visit_Minutes,MATCH(December!B70,Physician_Type_Practice,0)) +SUMIF(Physician_Minutes_Practice,December!B70,Physician_Minutes_December)/INDEX(Physician_Type_Visit_Minutes,MATCH(December!B70,Physician_Type_Practice,0))</f>
        <v>0</v>
      </c>
      <c r="D70" s="43">
        <f t="shared" si="5"/>
        <v>0</v>
      </c>
      <c r="E70" s="17">
        <f>INDEX(Physician_Type_Bed_Rate,MATCH(December!B70,Physician_Type_Practice,0))*'Hospital Input Page'!$C$4</f>
        <v>1619.8750052216039</v>
      </c>
      <c r="F70" s="9">
        <f t="shared" si="7"/>
        <v>0</v>
      </c>
      <c r="H70" s="5">
        <f t="array" ref="H70">SUMIFS(Physician_Visit_December, Physician_Visit_Practice, December!B70, Independent_Contractor_Visits,  'Physician Types'!$D$81) + SUMIFS(Physician_Minutes_December,Physician_Minutes_Practice,December!B70, Independent_Contractor_Minutes, 'Physician Types'!$D$81)/INDEX(Physician_Type_Visit_Minutes,MATCH(December!B70,Physician_Type_Practice,0))</f>
        <v>0</v>
      </c>
      <c r="I70" s="43">
        <f t="shared" si="6"/>
        <v>0</v>
      </c>
      <c r="J70" s="10">
        <f>E70*'Physician Types'!$E$4</f>
        <v>48.596250156648118</v>
      </c>
      <c r="K70" s="10">
        <f t="shared" si="8"/>
        <v>0</v>
      </c>
    </row>
    <row r="71" spans="1:11" x14ac:dyDescent="0.2">
      <c r="A71" s="158">
        <v>2</v>
      </c>
      <c r="B71" s="161" t="s">
        <v>154</v>
      </c>
      <c r="C71" s="5">
        <f>SUMIFS(Physician_Visit_December,Physician_Visit_Practice,December!B71,Physician_Visit_Hospitalists, "&lt;&gt;"&amp;'Physician Types'!$D$81)+SUMIFS(Physician_Visit_December,Physician_Visit_Practice,December!B71,Physician_Visit_Hospitalists,'Physician Types'!$D$81)*INDEX(Physician_Type_Hospitalists_Visit_Minutes,MATCH(December!B71,Physician_Type_Practice,0))/INDEX(Physician_Type_Visit_Minutes,MATCH(December!B71,Physician_Type_Practice,0)) +SUMIF(Physician_Minutes_Practice,December!B71,Physician_Minutes_December)/INDEX(Physician_Type_Visit_Minutes,MATCH(December!B71,Physician_Type_Practice,0))</f>
        <v>0</v>
      </c>
      <c r="D71" s="43">
        <f t="shared" si="5"/>
        <v>0</v>
      </c>
      <c r="E71" s="17">
        <f>INDEX(Physician_Type_Bed_Rate,MATCH(December!B71,Physician_Type_Practice,0))*'Hospital Input Page'!$C$4</f>
        <v>1951.6566327971132</v>
      </c>
      <c r="F71" s="9">
        <f t="shared" si="7"/>
        <v>0</v>
      </c>
      <c r="H71" s="5">
        <f t="array" ref="H71">SUMIFS(Physician_Visit_December, Physician_Visit_Practice, December!B71, Independent_Contractor_Visits,  'Physician Types'!$D$81) + SUMIFS(Physician_Minutes_December,Physician_Minutes_Practice,December!B71, Independent_Contractor_Minutes, 'Physician Types'!$D$81)/INDEX(Physician_Type_Visit_Minutes,MATCH(December!B71,Physician_Type_Practice,0))</f>
        <v>0</v>
      </c>
      <c r="I71" s="43">
        <f t="shared" si="6"/>
        <v>0</v>
      </c>
      <c r="J71" s="10">
        <f>E71*'Physician Types'!$E$4</f>
        <v>58.549698983913395</v>
      </c>
      <c r="K71" s="10">
        <f t="shared" si="8"/>
        <v>0</v>
      </c>
    </row>
    <row r="72" spans="1:11" x14ac:dyDescent="0.2">
      <c r="A72" s="158">
        <v>4</v>
      </c>
      <c r="B72" s="102" t="s">
        <v>62</v>
      </c>
      <c r="C72" s="5">
        <f>SUMIFS(Physician_Visit_December,Physician_Visit_Practice,December!B72,Physician_Visit_Hospitalists, "&lt;&gt;"&amp;'Physician Types'!$D$81)+SUMIFS(Physician_Visit_December,Physician_Visit_Practice,December!B72,Physician_Visit_Hospitalists,'Physician Types'!$D$81)*INDEX(Physician_Type_Hospitalists_Visit_Minutes,MATCH(December!B72,Physician_Type_Practice,0))/INDEX(Physician_Type_Visit_Minutes,MATCH(December!B72,Physician_Type_Practice,0)) +SUMIF(Physician_Minutes_Practice,December!B72,Physician_Minutes_December)/INDEX(Physician_Type_Visit_Minutes,MATCH(December!B72,Physician_Type_Practice,0))</f>
        <v>0</v>
      </c>
      <c r="D72" s="43">
        <f t="shared" si="5"/>
        <v>0</v>
      </c>
      <c r="E72" s="17">
        <f>INDEX(Physician_Type_Bed_Rate,MATCH(December!B72,Physician_Type_Practice,0))*'Hospital Input Page'!$C$4</f>
        <v>2529.3469961050587</v>
      </c>
      <c r="F72" s="9">
        <f t="shared" si="7"/>
        <v>0</v>
      </c>
      <c r="H72" s="5">
        <f t="array" ref="H72">SUMIFS(Physician_Visit_December, Physician_Visit_Practice, December!B72, Independent_Contractor_Visits,  'Physician Types'!$D$81) + SUMIFS(Physician_Minutes_December,Physician_Minutes_Practice,December!B72, Independent_Contractor_Minutes, 'Physician Types'!$D$81)/INDEX(Physician_Type_Visit_Minutes,MATCH(December!B72,Physician_Type_Practice,0))</f>
        <v>0</v>
      </c>
      <c r="I72" s="43">
        <f t="shared" si="6"/>
        <v>0</v>
      </c>
      <c r="J72" s="10">
        <f>E72*'Physician Types'!$E$4</f>
        <v>75.880409883151756</v>
      </c>
      <c r="K72" s="10">
        <f t="shared" si="8"/>
        <v>0</v>
      </c>
    </row>
    <row r="73" spans="1:11" x14ac:dyDescent="0.2">
      <c r="A73" s="158">
        <v>2</v>
      </c>
      <c r="B73" s="107" t="s">
        <v>45</v>
      </c>
      <c r="C73" s="5">
        <f>SUMIFS(Physician_Visit_December,Physician_Visit_Practice,December!B73,Physician_Visit_Hospitalists, "&lt;&gt;"&amp;'Physician Types'!$D$81)+SUMIFS(Physician_Visit_December,Physician_Visit_Practice,December!B73,Physician_Visit_Hospitalists,'Physician Types'!$D$81)*INDEX(Physician_Type_Hospitalists_Visit_Minutes,MATCH(December!B73,Physician_Type_Practice,0))/INDEX(Physician_Type_Visit_Minutes,MATCH(December!B73,Physician_Type_Practice,0)) +SUMIF(Physician_Minutes_Practice,December!B73,Physician_Minutes_December)/INDEX(Physician_Type_Visit_Minutes,MATCH(December!B73,Physician_Type_Practice,0))</f>
        <v>0</v>
      </c>
      <c r="D73" s="43">
        <f t="shared" si="5"/>
        <v>0</v>
      </c>
      <c r="E73" s="17">
        <f>INDEX(Physician_Type_Bed_Rate,MATCH(December!B73,Physician_Type_Practice,0))*'Hospital Input Page'!$C$4</f>
        <v>4844.0117626024357</v>
      </c>
      <c r="F73" s="9">
        <f t="shared" si="7"/>
        <v>0</v>
      </c>
      <c r="H73" s="5">
        <f t="array" ref="H73">SUMIFS(Physician_Visit_December, Physician_Visit_Practice, December!B73, Independent_Contractor_Visits,  'Physician Types'!$D$81) + SUMIFS(Physician_Minutes_December,Physician_Minutes_Practice,December!B73, Independent_Contractor_Minutes, 'Physician Types'!$D$81)/INDEX(Physician_Type_Visit_Minutes,MATCH(December!B73,Physician_Type_Practice,0))</f>
        <v>0</v>
      </c>
      <c r="I73" s="43">
        <f t="shared" si="6"/>
        <v>0</v>
      </c>
      <c r="J73" s="10">
        <f>E73*'Physician Types'!$E$4</f>
        <v>145.32035287807307</v>
      </c>
      <c r="K73" s="10">
        <f t="shared" si="8"/>
        <v>0</v>
      </c>
    </row>
    <row r="74" spans="1:11" x14ac:dyDescent="0.2">
      <c r="A74" s="158">
        <v>4</v>
      </c>
      <c r="B74" s="107" t="s">
        <v>63</v>
      </c>
      <c r="C74" s="5">
        <f>SUMIFS(Physician_Visit_December,Physician_Visit_Practice,December!B74,Physician_Visit_Hospitalists, "&lt;&gt;"&amp;'Physician Types'!$D$81)+SUMIFS(Physician_Visit_December,Physician_Visit_Practice,December!B74,Physician_Visit_Hospitalists,'Physician Types'!$D$81)*INDEX(Physician_Type_Hospitalists_Visit_Minutes,MATCH(December!B74,Physician_Type_Practice,0))/INDEX(Physician_Type_Visit_Minutes,MATCH(December!B74,Physician_Type_Practice,0)) +SUMIF(Physician_Minutes_Practice,December!B74,Physician_Minutes_December)/INDEX(Physician_Type_Visit_Minutes,MATCH(December!B74,Physician_Type_Practice,0))</f>
        <v>0</v>
      </c>
      <c r="D74" s="43">
        <f t="shared" si="5"/>
        <v>0</v>
      </c>
      <c r="E74" s="17">
        <f>INDEX(Physician_Type_Bed_Rate,MATCH(December!B74,Physician_Type_Practice,0))*'Hospital Input Page'!$C$4</f>
        <v>2539.1052792690443</v>
      </c>
      <c r="F74" s="9">
        <f t="shared" si="7"/>
        <v>0</v>
      </c>
      <c r="H74" s="5">
        <f t="array" ref="H74">SUMIFS(Physician_Visit_December, Physician_Visit_Practice, December!B74, Independent_Contractor_Visits,  'Physician Types'!$D$81) + SUMIFS(Physician_Minutes_December,Physician_Minutes_Practice,December!B74, Independent_Contractor_Minutes, 'Physician Types'!$D$81)/INDEX(Physician_Type_Visit_Minutes,MATCH(December!B74,Physician_Type_Practice,0))</f>
        <v>0</v>
      </c>
      <c r="I74" s="43">
        <f t="shared" si="6"/>
        <v>0</v>
      </c>
      <c r="J74" s="10">
        <f>E74*'Physician Types'!$E$4</f>
        <v>76.173158378071321</v>
      </c>
      <c r="K74" s="10">
        <f t="shared" si="8"/>
        <v>0</v>
      </c>
    </row>
    <row r="75" spans="1:11" x14ac:dyDescent="0.2">
      <c r="A75" s="158">
        <v>2</v>
      </c>
      <c r="B75" s="107" t="s">
        <v>46</v>
      </c>
      <c r="C75" s="5">
        <f>SUMIFS(Physician_Visit_December,Physician_Visit_Practice,December!B75,Physician_Visit_Hospitalists, "&lt;&gt;"&amp;'Physician Types'!$D$81)+SUMIFS(Physician_Visit_December,Physician_Visit_Practice,December!B75,Physician_Visit_Hospitalists,'Physician Types'!$D$81)*INDEX(Physician_Type_Hospitalists_Visit_Minutes,MATCH(December!B75,Physician_Type_Practice,0))/INDEX(Physician_Type_Visit_Minutes,MATCH(December!B75,Physician_Type_Practice,0)) +SUMIF(Physician_Minutes_Practice,December!B75,Physician_Minutes_December)/INDEX(Physician_Type_Visit_Minutes,MATCH(December!B75,Physician_Type_Practice,0))</f>
        <v>0</v>
      </c>
      <c r="D75" s="43">
        <f t="shared" si="5"/>
        <v>0</v>
      </c>
      <c r="E75" s="17">
        <f>INDEX(Physician_Type_Bed_Rate,MATCH(December!B75,Physician_Type_Practice,0))*'Hospital Input Page'!$C$4</f>
        <v>1619.8750052216039</v>
      </c>
      <c r="F75" s="9">
        <f t="shared" si="7"/>
        <v>0</v>
      </c>
      <c r="H75" s="5">
        <f t="array" ref="H75">SUMIFS(Physician_Visit_December, Physician_Visit_Practice, December!B75, Independent_Contractor_Visits,  'Physician Types'!$D$81) + SUMIFS(Physician_Minutes_December,Physician_Minutes_Practice,December!B75, Independent_Contractor_Minutes, 'Physician Types'!$D$81)/INDEX(Physician_Type_Visit_Minutes,MATCH(December!B75,Physician_Type_Practice,0))</f>
        <v>0</v>
      </c>
      <c r="I75" s="43">
        <f t="shared" si="6"/>
        <v>0</v>
      </c>
      <c r="J75" s="10">
        <f>E75*'Physician Types'!$E$4</f>
        <v>48.596250156648118</v>
      </c>
      <c r="K75" s="10">
        <f t="shared" si="8"/>
        <v>0</v>
      </c>
    </row>
    <row r="76" spans="1:11" x14ac:dyDescent="0.2">
      <c r="A76" s="158">
        <v>3</v>
      </c>
      <c r="B76" s="102" t="s">
        <v>54</v>
      </c>
      <c r="C76" s="5">
        <f>SUMIFS(Physician_Visit_December,Physician_Visit_Practice,December!B76,Physician_Visit_Hospitalists, "&lt;&gt;"&amp;'Physician Types'!$D$81)+SUMIFS(Physician_Visit_December,Physician_Visit_Practice,December!B76,Physician_Visit_Hospitalists,'Physician Types'!$D$81)*INDEX(Physician_Type_Hospitalists_Visit_Minutes,MATCH(December!B76,Physician_Type_Practice,0))/INDEX(Physician_Type_Visit_Minutes,MATCH(December!B76,Physician_Type_Practice,0)) +SUMIF(Physician_Minutes_Practice,December!B76,Physician_Minutes_December)/INDEX(Physician_Type_Visit_Minutes,MATCH(December!B76,Physician_Type_Practice,0))</f>
        <v>0</v>
      </c>
      <c r="D76" s="43">
        <f t="shared" si="5"/>
        <v>0</v>
      </c>
      <c r="E76" s="17">
        <f>INDEX(Physician_Type_Bed_Rate,MATCH(December!B76,Physician_Type_Practice,0))*'Hospital Input Page'!$C$4</f>
        <v>2699.1411231584075</v>
      </c>
      <c r="F76" s="9">
        <f t="shared" si="7"/>
        <v>0</v>
      </c>
      <c r="H76" s="5">
        <f t="array" ref="H76">SUMIFS(Physician_Visit_December, Physician_Visit_Practice, December!B76, Independent_Contractor_Visits,  'Physician Types'!$D$81) + SUMIFS(Physician_Minutes_December,Physician_Minutes_Practice,December!B76, Independent_Contractor_Minutes, 'Physician Types'!$D$81)/INDEX(Physician_Type_Visit_Minutes,MATCH(December!B76,Physician_Type_Practice,0))</f>
        <v>0</v>
      </c>
      <c r="I76" s="43">
        <f t="shared" si="6"/>
        <v>0</v>
      </c>
      <c r="J76" s="10">
        <f>E76*'Physician Types'!$E$4</f>
        <v>80.974233694752215</v>
      </c>
      <c r="K76" s="10">
        <f t="shared" si="8"/>
        <v>0</v>
      </c>
    </row>
    <row r="77" spans="1:11" x14ac:dyDescent="0.2">
      <c r="A77" s="158">
        <v>3</v>
      </c>
      <c r="B77" s="102" t="s">
        <v>55</v>
      </c>
      <c r="C77" s="5">
        <f>SUMIFS(Physician_Visit_December,Physician_Visit_Practice,December!B77,Physician_Visit_Hospitalists, "&lt;&gt;"&amp;'Physician Types'!$D$81)+SUMIFS(Physician_Visit_December,Physician_Visit_Practice,December!B77,Physician_Visit_Hospitalists,'Physician Types'!$D$81)*INDEX(Physician_Type_Hospitalists_Visit_Minutes,MATCH(December!B77,Physician_Type_Practice,0))/INDEX(Physician_Type_Visit_Minutes,MATCH(December!B77,Physician_Type_Practice,0)) +SUMIF(Physician_Minutes_Practice,December!B77,Physician_Minutes_December)/INDEX(Physician_Type_Visit_Minutes,MATCH(December!B77,Physician_Type_Practice,0))</f>
        <v>0</v>
      </c>
      <c r="D77" s="43">
        <f t="shared" si="5"/>
        <v>0</v>
      </c>
      <c r="E77" s="17">
        <f>INDEX(Physician_Type_Bed_Rate,MATCH(December!B77,Physician_Type_Practice,0))*'Hospital Input Page'!$C$4</f>
        <v>2222.9369047559121</v>
      </c>
      <c r="F77" s="9">
        <f t="shared" si="7"/>
        <v>0</v>
      </c>
      <c r="H77" s="5">
        <f t="array" ref="H77">SUMIFS(Physician_Visit_December, Physician_Visit_Practice, December!B77, Independent_Contractor_Visits,  'Physician Types'!$D$81) + SUMIFS(Physician_Minutes_December,Physician_Minutes_Practice,December!B77, Independent_Contractor_Minutes, 'Physician Types'!$D$81)/INDEX(Physician_Type_Visit_Minutes,MATCH(December!B77,Physician_Type_Practice,0))</f>
        <v>0</v>
      </c>
      <c r="I77" s="43">
        <f t="shared" si="6"/>
        <v>0</v>
      </c>
      <c r="J77" s="10">
        <f>E77*'Physician Types'!$E$4</f>
        <v>66.688107142677367</v>
      </c>
      <c r="K77" s="10">
        <f t="shared" si="8"/>
        <v>0</v>
      </c>
    </row>
    <row r="78" spans="1:11" x14ac:dyDescent="0.2">
      <c r="A78" s="158">
        <v>8</v>
      </c>
      <c r="B78" s="102" t="s">
        <v>77</v>
      </c>
      <c r="C78" s="5">
        <f>SUMIFS(Physician_Visit_December,Physician_Visit_Practice,December!B78,Physician_Visit_Hospitalists, "&lt;&gt;"&amp;'Physician Types'!$D$81)+SUMIFS(Physician_Visit_December,Physician_Visit_Practice,December!B78,Physician_Visit_Hospitalists,'Physician Types'!$D$81)*INDEX(Physician_Type_Hospitalists_Visit_Minutes,MATCH(December!B78,Physician_Type_Practice,0))/INDEX(Physician_Type_Visit_Minutes,MATCH(December!B78,Physician_Type_Practice,0)) +SUMIF(Physician_Minutes_Practice,December!B78,Physician_Minutes_December)/INDEX(Physician_Type_Visit_Minutes,MATCH(December!B78,Physician_Type_Practice,0))</f>
        <v>0</v>
      </c>
      <c r="D78" s="43">
        <f t="shared" ref="D78:D110" si="9">C78*INDEX(Physician_Type_Visit_Minutes,MATCH(B78,Physician_Type_Practice,0))/INDEX(Physician_Type_FTE_Minutes,MATCH(B78,Physician_Type_Practice,0))</f>
        <v>0</v>
      </c>
      <c r="E78" s="17">
        <f>INDEX(Physician_Type_Bed_Rate,MATCH(December!B78,Physician_Type_Practice,0))*'Hospital Input Page'!$C$4</f>
        <v>11024.908318670894</v>
      </c>
      <c r="F78" s="9">
        <f t="shared" si="7"/>
        <v>0</v>
      </c>
      <c r="H78" s="5">
        <f t="array" ref="H78">SUMIFS(Physician_Visit_December, Physician_Visit_Practice, December!B78, Independent_Contractor_Visits,  'Physician Types'!$D$81) + SUMIFS(Physician_Minutes_December,Physician_Minutes_Practice,December!B78, Independent_Contractor_Minutes, 'Physician Types'!$D$81)/INDEX(Physician_Type_Visit_Minutes,MATCH(December!B78,Physician_Type_Practice,0))</f>
        <v>0</v>
      </c>
      <c r="I78" s="43">
        <f t="shared" ref="I78:I110" si="10">H78*INDEX(Physician_Type_Visit_Minutes,MATCH(B78,Physician_Type_Practice,0))/INDEX(Physician_Type_FTE_Minutes,MATCH(B78,Physician_Type_Practice,0))</f>
        <v>0</v>
      </c>
      <c r="J78" s="10">
        <f>E78*'Physician Types'!$E$4</f>
        <v>330.74724956012682</v>
      </c>
      <c r="K78" s="10">
        <f t="shared" si="8"/>
        <v>0</v>
      </c>
    </row>
    <row r="79" spans="1:11" x14ac:dyDescent="0.2">
      <c r="A79" s="158"/>
      <c r="B79" s="102" t="s">
        <v>79</v>
      </c>
      <c r="C79" s="5">
        <f>SUMIFS(Physician_Visit_December,Physician_Visit_Practice,December!B79,Physician_Visit_Hospitalists, "&lt;&gt;"&amp;'Physician Types'!$D$81)+SUMIFS(Physician_Visit_December,Physician_Visit_Practice,December!B79,Physician_Visit_Hospitalists,'Physician Types'!$D$81)*INDEX(Physician_Type_Hospitalists_Visit_Minutes,MATCH(December!B79,Physician_Type_Practice,0))/INDEX(Physician_Type_Visit_Minutes,MATCH(December!B79,Physician_Type_Practice,0)) +SUMIF(Physician_Minutes_Practice,December!B79,Physician_Minutes_December)/INDEX(Physician_Type_Visit_Minutes,MATCH(December!B79,Physician_Type_Practice,0))</f>
        <v>0</v>
      </c>
      <c r="D79" s="43">
        <f t="shared" si="9"/>
        <v>0</v>
      </c>
      <c r="E79" s="17">
        <f>INDEX(Physician_Type_Bed_Rate,MATCH(December!B79,Physician_Type_Practice,0))*'Hospital Input Page'!$C$4</f>
        <v>858.72891843072989</v>
      </c>
      <c r="F79" s="9">
        <f t="shared" si="7"/>
        <v>0</v>
      </c>
      <c r="H79" s="5">
        <f t="array" ref="H79">SUMIFS(Physician_Visit_December, Physician_Visit_Practice, December!B79, Independent_Contractor_Visits,  'Physician Types'!$D$81) + SUMIFS(Physician_Minutes_December,Physician_Minutes_Practice,December!B79, Independent_Contractor_Minutes, 'Physician Types'!$D$81)/INDEX(Physician_Type_Visit_Minutes,MATCH(December!B79,Physician_Type_Practice,0))</f>
        <v>0</v>
      </c>
      <c r="I79" s="43">
        <f t="shared" si="10"/>
        <v>0</v>
      </c>
      <c r="J79" s="10">
        <f>E79*'Physician Types'!$E$4</f>
        <v>25.761867552921895</v>
      </c>
      <c r="K79" s="10">
        <f t="shared" si="8"/>
        <v>0</v>
      </c>
    </row>
    <row r="80" spans="1:11" x14ac:dyDescent="0.2">
      <c r="A80" s="158">
        <v>5</v>
      </c>
      <c r="B80" s="102" t="s">
        <v>67</v>
      </c>
      <c r="C80" s="5">
        <f>SUMIFS(Physician_Visit_December,Physician_Visit_Practice,December!B80,Physician_Visit_Hospitalists, "&lt;&gt;"&amp;'Physician Types'!$D$81)+SUMIFS(Physician_Visit_December,Physician_Visit_Practice,December!B80,Physician_Visit_Hospitalists,'Physician Types'!$D$81)*INDEX(Physician_Type_Hospitalists_Visit_Minutes,MATCH(December!B80,Physician_Type_Practice,0))/INDEX(Physician_Type_Visit_Minutes,MATCH(December!B80,Physician_Type_Practice,0)) +SUMIF(Physician_Minutes_Practice,December!B80,Physician_Minutes_December)/INDEX(Physician_Type_Visit_Minutes,MATCH(December!B80,Physician_Type_Practice,0))</f>
        <v>0</v>
      </c>
      <c r="D80" s="43">
        <f t="shared" si="9"/>
        <v>0</v>
      </c>
      <c r="E80" s="17">
        <f>INDEX(Physician_Type_Bed_Rate,MATCH(December!B80,Physician_Type_Practice,0))*'Hospital Input Page'!$C$4</f>
        <v>1955.5599460627077</v>
      </c>
      <c r="F80" s="9">
        <f t="shared" si="7"/>
        <v>0</v>
      </c>
      <c r="H80" s="5">
        <f t="array" ref="H80">SUMIFS(Physician_Visit_December, Physician_Visit_Practice, December!B80, Independent_Contractor_Visits,  'Physician Types'!$D$81) + SUMIFS(Physician_Minutes_December,Physician_Minutes_Practice,December!B80, Independent_Contractor_Minutes, 'Physician Types'!$D$81)/INDEX(Physician_Type_Visit_Minutes,MATCH(December!B80,Physician_Type_Practice,0))</f>
        <v>0</v>
      </c>
      <c r="I80" s="43">
        <f t="shared" si="10"/>
        <v>0</v>
      </c>
      <c r="J80" s="10">
        <f>E80*'Physician Types'!$E$4</f>
        <v>58.666798381881229</v>
      </c>
      <c r="K80" s="10">
        <f t="shared" si="8"/>
        <v>0</v>
      </c>
    </row>
    <row r="81" spans="1:11" x14ac:dyDescent="0.2">
      <c r="A81" s="158"/>
      <c r="B81" s="102" t="s">
        <v>80</v>
      </c>
      <c r="C81" s="5">
        <f>SUMIFS(Physician_Visit_December,Physician_Visit_Practice,December!B81,Physician_Visit_Hospitalists, "&lt;&gt;"&amp;'Physician Types'!$D$81)+SUMIFS(Physician_Visit_December,Physician_Visit_Practice,December!B81,Physician_Visit_Hospitalists,'Physician Types'!$D$81)*INDEX(Physician_Type_Hospitalists_Visit_Minutes,MATCH(December!B81,Physician_Type_Practice,0))/INDEX(Physician_Type_Visit_Minutes,MATCH(December!B81,Physician_Type_Practice,0)) +SUMIF(Physician_Minutes_Practice,December!B81,Physician_Minutes_December)/INDEX(Physician_Type_Visit_Minutes,MATCH(December!B81,Physician_Type_Practice,0))</f>
        <v>0</v>
      </c>
      <c r="D81" s="43">
        <f t="shared" si="9"/>
        <v>0</v>
      </c>
      <c r="E81" s="17">
        <f>INDEX(Physician_Type_Bed_Rate,MATCH(December!B81,Physician_Type_Practice,0))*'Hospital Input Page'!$C$4</f>
        <v>493.76912809766964</v>
      </c>
      <c r="F81" s="9">
        <f t="shared" si="7"/>
        <v>0</v>
      </c>
      <c r="H81" s="5">
        <f t="array" ref="H81">SUMIFS(Physician_Visit_December, Physician_Visit_Practice, December!B81, Independent_Contractor_Visits,  'Physician Types'!$D$81) + SUMIFS(Physician_Minutes_December,Physician_Minutes_Practice,December!B81, Independent_Contractor_Minutes, 'Physician Types'!$D$81)/INDEX(Physician_Type_Visit_Minutes,MATCH(December!B81,Physician_Type_Practice,0))</f>
        <v>0</v>
      </c>
      <c r="I81" s="43">
        <f t="shared" si="10"/>
        <v>0</v>
      </c>
      <c r="J81" s="10">
        <f>E81*'Physician Types'!$E$4</f>
        <v>14.813073842930088</v>
      </c>
      <c r="K81" s="10">
        <f t="shared" si="8"/>
        <v>0</v>
      </c>
    </row>
    <row r="82" spans="1:11" x14ac:dyDescent="0.2">
      <c r="A82" s="158">
        <v>8</v>
      </c>
      <c r="B82" s="128" t="s">
        <v>139</v>
      </c>
      <c r="C82" s="5">
        <f>SUMIFS(Physician_Visit_December,Physician_Visit_Practice,December!B82,Physician_Visit_Hospitalists, "&lt;&gt;"&amp;'Physician Types'!$D$81)+SUMIFS(Physician_Visit_December,Physician_Visit_Practice,December!B82,Physician_Visit_Hospitalists,'Physician Types'!$D$81)*INDEX(Physician_Type_Hospitalists_Visit_Minutes,MATCH(December!B82,Physician_Type_Practice,0))/INDEX(Physician_Type_Visit_Minutes,MATCH(December!B82,Physician_Type_Practice,0)) +SUMIF(Physician_Minutes_Practice,December!B82,Physician_Minutes_December)/INDEX(Physician_Type_Visit_Minutes,MATCH(December!B82,Physician_Type_Practice,0))</f>
        <v>0</v>
      </c>
      <c r="D82" s="43">
        <f t="shared" si="9"/>
        <v>0</v>
      </c>
      <c r="E82" s="17">
        <f>INDEX(Physician_Type_Bed_Rate,MATCH(December!B82,Physician_Type_Practice,0))*'Hospital Input Page'!$C$4</f>
        <v>8509.2229189954141</v>
      </c>
      <c r="F82" s="9">
        <f t="shared" si="7"/>
        <v>0</v>
      </c>
      <c r="H82" s="5">
        <f t="array" ref="H82">SUMIFS(Physician_Visit_December, Physician_Visit_Practice, December!B82, Independent_Contractor_Visits,  'Physician Types'!$D$81) + SUMIFS(Physician_Minutes_December,Physician_Minutes_Practice,December!B82, Independent_Contractor_Minutes, 'Physician Types'!$D$81)/INDEX(Physician_Type_Visit_Minutes,MATCH(December!B82,Physician_Type_Practice,0))</f>
        <v>0</v>
      </c>
      <c r="I82" s="43">
        <f t="shared" si="10"/>
        <v>0</v>
      </c>
      <c r="J82" s="10">
        <f>E82*'Physician Types'!$E$4</f>
        <v>255.27668756986242</v>
      </c>
      <c r="K82" s="10">
        <f t="shared" si="8"/>
        <v>0</v>
      </c>
    </row>
    <row r="83" spans="1:11" x14ac:dyDescent="0.2">
      <c r="A83" s="158">
        <v>8</v>
      </c>
      <c r="B83" s="102" t="s">
        <v>78</v>
      </c>
      <c r="C83" s="5">
        <f>SUMIFS(Physician_Visit_December,Physician_Visit_Practice,December!B83,Physician_Visit_Hospitalists, "&lt;&gt;"&amp;'Physician Types'!$D$81)+SUMIFS(Physician_Visit_December,Physician_Visit_Practice,December!B83,Physician_Visit_Hospitalists,'Physician Types'!$D$81)*INDEX(Physician_Type_Hospitalists_Visit_Minutes,MATCH(December!B83,Physician_Type_Practice,0))/INDEX(Physician_Type_Visit_Minutes,MATCH(December!B83,Physician_Type_Practice,0)) +SUMIF(Physician_Minutes_Practice,December!B83,Physician_Minutes_December)/INDEX(Physician_Type_Visit_Minutes,MATCH(December!B83,Physician_Type_Practice,0))</f>
        <v>0</v>
      </c>
      <c r="D83" s="43">
        <f t="shared" si="9"/>
        <v>0</v>
      </c>
      <c r="E83" s="17">
        <f>INDEX(Physician_Type_Bed_Rate,MATCH(December!B83,Physician_Type_Practice,0))*'Hospital Input Page'!$C$4</f>
        <v>8509.2229189954141</v>
      </c>
      <c r="F83" s="9">
        <f t="shared" si="7"/>
        <v>0</v>
      </c>
      <c r="H83" s="5">
        <f t="array" ref="H83">SUMIFS(Physician_Visit_December, Physician_Visit_Practice, December!B83, Independent_Contractor_Visits,  'Physician Types'!$D$81) + SUMIFS(Physician_Minutes_December,Physician_Minutes_Practice,December!B83, Independent_Contractor_Minutes, 'Physician Types'!$D$81)/INDEX(Physician_Type_Visit_Minutes,MATCH(December!B83,Physician_Type_Practice,0))</f>
        <v>0</v>
      </c>
      <c r="I83" s="43">
        <f t="shared" si="10"/>
        <v>0</v>
      </c>
      <c r="J83" s="10">
        <f>E83*'Physician Types'!$E$4</f>
        <v>255.27668756986242</v>
      </c>
      <c r="K83" s="10">
        <f t="shared" si="8"/>
        <v>0</v>
      </c>
    </row>
    <row r="84" spans="1:11" x14ac:dyDescent="0.2">
      <c r="A84" s="158">
        <v>2</v>
      </c>
      <c r="B84" s="107" t="s">
        <v>47</v>
      </c>
      <c r="C84" s="5">
        <f>SUMIFS(Physician_Visit_December,Physician_Visit_Practice,December!B84,Physician_Visit_Hospitalists, "&lt;&gt;"&amp;'Physician Types'!$D$81)+SUMIFS(Physician_Visit_December,Physician_Visit_Practice,December!B84,Physician_Visit_Hospitalists,'Physician Types'!$D$81)*INDEX(Physician_Type_Hospitalists_Visit_Minutes,MATCH(December!B84,Physician_Type_Practice,0))/INDEX(Physician_Type_Visit_Minutes,MATCH(December!B84,Physician_Type_Practice,0)) +SUMIF(Physician_Minutes_Practice,December!B84,Physician_Minutes_December)/INDEX(Physician_Type_Visit_Minutes,MATCH(December!B84,Physician_Type_Practice,0))</f>
        <v>0</v>
      </c>
      <c r="D84" s="43">
        <f t="shared" si="9"/>
        <v>0</v>
      </c>
      <c r="E84" s="17">
        <f>INDEX(Physician_Type_Bed_Rate,MATCH(December!B84,Physician_Type_Practice,0))*'Hospital Input Page'!$C$4</f>
        <v>1727.2161200254454</v>
      </c>
      <c r="F84" s="9">
        <f t="shared" si="7"/>
        <v>0</v>
      </c>
      <c r="H84" s="5">
        <f t="array" ref="H84">SUMIFS(Physician_Visit_December, Physician_Visit_Practice, December!B84, Independent_Contractor_Visits,  'Physician Types'!$D$81) + SUMIFS(Physician_Minutes_December,Physician_Minutes_Practice,December!B84, Independent_Contractor_Minutes, 'Physician Types'!$D$81)/INDEX(Physician_Type_Visit_Minutes,MATCH(December!B84,Physician_Type_Practice,0))</f>
        <v>0</v>
      </c>
      <c r="I84" s="43">
        <f t="shared" si="10"/>
        <v>0</v>
      </c>
      <c r="J84" s="10">
        <f>E84*'Physician Types'!$E$4</f>
        <v>51.816483600763362</v>
      </c>
      <c r="K84" s="10">
        <f t="shared" si="8"/>
        <v>0</v>
      </c>
    </row>
    <row r="85" spans="1:11" x14ac:dyDescent="0.2">
      <c r="A85" s="158">
        <v>3</v>
      </c>
      <c r="B85" s="102" t="s">
        <v>56</v>
      </c>
      <c r="C85" s="5">
        <f>SUMIFS(Physician_Visit_December,Physician_Visit_Practice,December!B85,Physician_Visit_Hospitalists, "&lt;&gt;"&amp;'Physician Types'!$D$81)+SUMIFS(Physician_Visit_December,Physician_Visit_Practice,December!B85,Physician_Visit_Hospitalists,'Physician Types'!$D$81)*INDEX(Physician_Type_Hospitalists_Visit_Minutes,MATCH(December!B85,Physician_Type_Practice,0))/INDEX(Physician_Type_Visit_Minutes,MATCH(December!B85,Physician_Type_Practice,0)) +SUMIF(Physician_Minutes_Practice,December!B85,Physician_Minutes_December)/INDEX(Physician_Type_Visit_Minutes,MATCH(December!B85,Physician_Type_Practice,0))</f>
        <v>0</v>
      </c>
      <c r="D85" s="43">
        <f t="shared" si="9"/>
        <v>0</v>
      </c>
      <c r="E85" s="17">
        <f>INDEX(Physician_Type_Bed_Rate,MATCH(December!B85,Physician_Type_Practice,0))*'Hospital Input Page'!$C$4</f>
        <v>1842.3638613604746</v>
      </c>
      <c r="F85" s="9">
        <f t="shared" si="7"/>
        <v>0</v>
      </c>
      <c r="H85" s="5">
        <f t="array" ref="H85">SUMIFS(Physician_Visit_December, Physician_Visit_Practice, December!B85, Independent_Contractor_Visits,  'Physician Types'!$D$81) + SUMIFS(Physician_Minutes_December,Physician_Minutes_Practice,December!B85, Independent_Contractor_Minutes, 'Physician Types'!$D$81)/INDEX(Physician_Type_Visit_Minutes,MATCH(December!B85,Physician_Type_Practice,0))</f>
        <v>0</v>
      </c>
      <c r="I85" s="43">
        <f t="shared" si="10"/>
        <v>0</v>
      </c>
      <c r="J85" s="10">
        <f>E85*'Physician Types'!$E$4</f>
        <v>55.27091584081424</v>
      </c>
      <c r="K85" s="10">
        <f t="shared" si="8"/>
        <v>0</v>
      </c>
    </row>
    <row r="86" spans="1:11" x14ac:dyDescent="0.2">
      <c r="A86" s="158">
        <v>3</v>
      </c>
      <c r="B86" s="102" t="s">
        <v>57</v>
      </c>
      <c r="C86" s="5">
        <f>SUMIFS(Physician_Visit_December,Physician_Visit_Practice,December!B86,Physician_Visit_Hospitalists, "&lt;&gt;"&amp;'Physician Types'!$D$81)+SUMIFS(Physician_Visit_December,Physician_Visit_Practice,December!B86,Physician_Visit_Hospitalists,'Physician Types'!$D$81)*INDEX(Physician_Type_Hospitalists_Visit_Minutes,MATCH(December!B86,Physician_Type_Practice,0))/INDEX(Physician_Type_Visit_Minutes,MATCH(December!B86,Physician_Type_Practice,0)) +SUMIF(Physician_Minutes_Practice,December!B86,Physician_Minutes_December)/INDEX(Physician_Type_Visit_Minutes,MATCH(December!B86,Physician_Type_Practice,0))</f>
        <v>0</v>
      </c>
      <c r="D86" s="43">
        <f t="shared" si="9"/>
        <v>0</v>
      </c>
      <c r="E86" s="17">
        <f>INDEX(Physician_Type_Bed_Rate,MATCH(December!B86,Physician_Type_Practice,0))*'Hospital Input Page'!$C$4</f>
        <v>1165.1390097798767</v>
      </c>
      <c r="F86" s="9">
        <f t="shared" si="7"/>
        <v>0</v>
      </c>
      <c r="H86" s="5">
        <f t="array" ref="H86">SUMIFS(Physician_Visit_December, Physician_Visit_Practice, December!B86, Independent_Contractor_Visits,  'Physician Types'!$D$81) + SUMIFS(Physician_Minutes_December,Physician_Minutes_Practice,December!B86, Independent_Contractor_Minutes, 'Physician Types'!$D$81)/INDEX(Physician_Type_Visit_Minutes,MATCH(December!B86,Physician_Type_Practice,0))</f>
        <v>0</v>
      </c>
      <c r="I86" s="43">
        <f t="shared" si="10"/>
        <v>0</v>
      </c>
      <c r="J86" s="10">
        <f>E86*'Physician Types'!$E$4</f>
        <v>34.954170293396302</v>
      </c>
      <c r="K86" s="10">
        <f t="shared" si="8"/>
        <v>0</v>
      </c>
    </row>
    <row r="87" spans="1:11" x14ac:dyDescent="0.2">
      <c r="A87" s="158">
        <v>3</v>
      </c>
      <c r="B87" s="102" t="s">
        <v>58</v>
      </c>
      <c r="C87" s="5">
        <f>SUMIFS(Physician_Visit_December,Physician_Visit_Practice,December!B87,Physician_Visit_Hospitalists, "&lt;&gt;"&amp;'Physician Types'!$D$81)+SUMIFS(Physician_Visit_December,Physician_Visit_Practice,December!B87,Physician_Visit_Hospitalists,'Physician Types'!$D$81)*INDEX(Physician_Type_Hospitalists_Visit_Minutes,MATCH(December!B87,Physician_Type_Practice,0))/INDEX(Physician_Type_Visit_Minutes,MATCH(December!B87,Physician_Type_Practice,0)) +SUMIF(Physician_Minutes_Practice,December!B87,Physician_Minutes_December)/INDEX(Physician_Type_Visit_Minutes,MATCH(December!B87,Physician_Type_Practice,0))</f>
        <v>0</v>
      </c>
      <c r="D87" s="43">
        <f t="shared" si="9"/>
        <v>0</v>
      </c>
      <c r="E87" s="17">
        <f>INDEX(Physician_Type_Bed_Rate,MATCH(December!B87,Physician_Type_Practice,0))*'Hospital Input Page'!$C$4</f>
        <v>2406.3926282388406</v>
      </c>
      <c r="F87" s="9">
        <f t="shared" si="7"/>
        <v>0</v>
      </c>
      <c r="H87" s="5">
        <f t="array" ref="H87">SUMIFS(Physician_Visit_December, Physician_Visit_Practice, December!B87, Independent_Contractor_Visits,  'Physician Types'!$D$81) + SUMIFS(Physician_Minutes_December,Physician_Minutes_Practice,December!B87, Independent_Contractor_Minutes, 'Physician Types'!$D$81)/INDEX(Physician_Type_Visit_Minutes,MATCH(December!B87,Physician_Type_Practice,0))</f>
        <v>0</v>
      </c>
      <c r="I87" s="43">
        <f t="shared" si="10"/>
        <v>0</v>
      </c>
      <c r="J87" s="10">
        <f>E87*'Physician Types'!$E$4</f>
        <v>72.19177884716521</v>
      </c>
      <c r="K87" s="10">
        <f t="shared" si="8"/>
        <v>0</v>
      </c>
    </row>
    <row r="88" spans="1:11" x14ac:dyDescent="0.2">
      <c r="A88" s="158">
        <v>7</v>
      </c>
      <c r="B88" s="102" t="s">
        <v>73</v>
      </c>
      <c r="C88" s="5">
        <f>SUMIFS(Physician_Visit_December,Physician_Visit_Practice,December!B88,Physician_Visit_Hospitalists, "&lt;&gt;"&amp;'Physician Types'!$D$81)+SUMIFS(Physician_Visit_December,Physician_Visit_Practice,December!B88,Physician_Visit_Hospitalists,'Physician Types'!$D$81)*INDEX(Physician_Type_Hospitalists_Visit_Minutes,MATCH(December!B88,Physician_Type_Practice,0))/INDEX(Physician_Type_Visit_Minutes,MATCH(December!B88,Physician_Type_Practice,0)) +SUMIF(Physician_Minutes_Practice,December!B88,Physician_Minutes_December)/INDEX(Physician_Type_Visit_Minutes,MATCH(December!B88,Physician_Type_Practice,0))</f>
        <v>0</v>
      </c>
      <c r="D88" s="43">
        <f t="shared" si="9"/>
        <v>0</v>
      </c>
      <c r="E88" s="17">
        <f>INDEX(Physician_Type_Bed_Rate,MATCH(December!B88,Physician_Type_Practice,0))*'Hospital Input Page'!$C$4</f>
        <v>7172.3381255293916</v>
      </c>
      <c r="F88" s="9">
        <f t="shared" si="7"/>
        <v>0</v>
      </c>
      <c r="H88" s="5">
        <f t="array" ref="H88">SUMIFS(Physician_Visit_December, Physician_Visit_Practice, December!B88, Independent_Contractor_Visits,  'Physician Types'!$D$81) + SUMIFS(Physician_Minutes_December,Physician_Minutes_Practice,December!B88, Independent_Contractor_Minutes, 'Physician Types'!$D$81)/INDEX(Physician_Type_Visit_Minutes,MATCH(December!B88,Physician_Type_Practice,0))</f>
        <v>0</v>
      </c>
      <c r="I88" s="43">
        <f t="shared" si="10"/>
        <v>0</v>
      </c>
      <c r="J88" s="10">
        <f>E88*'Physician Types'!$E$4</f>
        <v>215.17014376588173</v>
      </c>
      <c r="K88" s="10">
        <f t="shared" si="8"/>
        <v>0</v>
      </c>
    </row>
    <row r="89" spans="1:11" x14ac:dyDescent="0.2">
      <c r="A89" s="158">
        <v>7</v>
      </c>
      <c r="B89" s="128" t="s">
        <v>74</v>
      </c>
      <c r="C89" s="5">
        <f>SUMIFS(Physician_Visit_December,Physician_Visit_Practice,December!B89,Physician_Visit_Hospitalists, "&lt;&gt;"&amp;'Physician Types'!$D$81)+SUMIFS(Physician_Visit_December,Physician_Visit_Practice,December!B89,Physician_Visit_Hospitalists,'Physician Types'!$D$81)*INDEX(Physician_Type_Hospitalists_Visit_Minutes,MATCH(December!B89,Physician_Type_Practice,0))/INDEX(Physician_Type_Visit_Minutes,MATCH(December!B89,Physician_Type_Practice,0)) +SUMIF(Physician_Minutes_Practice,December!B89,Physician_Minutes_December)/INDEX(Physician_Type_Visit_Minutes,MATCH(December!B89,Physician_Type_Practice,0))</f>
        <v>0</v>
      </c>
      <c r="D89" s="43">
        <f t="shared" si="9"/>
        <v>0</v>
      </c>
      <c r="E89" s="17">
        <f>INDEX(Physician_Type_Bed_Rate,MATCH(December!B89,Physician_Type_Practice,0))*'Hospital Input Page'!$C$4</f>
        <v>4073.1073926475756</v>
      </c>
      <c r="F89" s="9">
        <f t="shared" si="7"/>
        <v>0</v>
      </c>
      <c r="H89" s="5">
        <f t="array" ref="H89">SUMIFS(Physician_Visit_December, Physician_Visit_Practice, December!B89, Independent_Contractor_Visits,  'Physician Types'!$D$81) + SUMIFS(Physician_Minutes_December,Physician_Minutes_Practice,December!B89, Independent_Contractor_Minutes, 'Physician Types'!$D$81)/INDEX(Physician_Type_Visit_Minutes,MATCH(December!B89,Physician_Type_Practice,0))</f>
        <v>0</v>
      </c>
      <c r="I89" s="43">
        <f t="shared" si="10"/>
        <v>0</v>
      </c>
      <c r="J89" s="10">
        <f>E89*'Physician Types'!$E$4</f>
        <v>122.19322177942726</v>
      </c>
      <c r="K89" s="10">
        <f t="shared" si="8"/>
        <v>0</v>
      </c>
    </row>
    <row r="90" spans="1:11" x14ac:dyDescent="0.2">
      <c r="A90" s="158">
        <v>4</v>
      </c>
      <c r="B90" s="128" t="s">
        <v>146</v>
      </c>
      <c r="C90" s="5">
        <f>SUMIFS(Physician_Visit_December,Physician_Visit_Practice,December!B90,Physician_Visit_Hospitalists, "&lt;&gt;"&amp;'Physician Types'!$D$81)+SUMIFS(Physician_Visit_December,Physician_Visit_Practice,December!B90,Physician_Visit_Hospitalists,'Physician Types'!$D$81)*INDEX(Physician_Type_Hospitalists_Visit_Minutes,MATCH(December!B90,Physician_Type_Practice,0))/INDEX(Physician_Type_Visit_Minutes,MATCH(December!B90,Physician_Type_Practice,0)) +SUMIF(Physician_Minutes_Practice,December!B90,Physician_Minutes_December)/INDEX(Physician_Type_Visit_Minutes,MATCH(December!B90,Physician_Type_Practice,0))</f>
        <v>0</v>
      </c>
      <c r="D90" s="43">
        <f t="shared" si="9"/>
        <v>0</v>
      </c>
      <c r="E90" s="17">
        <f>INDEX(Physician_Type_Bed_Rate,MATCH(December!B90,Physician_Type_Practice,0))*'Hospital Input Page'!$C$4</f>
        <v>2997.7445879763663</v>
      </c>
      <c r="F90" s="9">
        <f t="shared" si="7"/>
        <v>0</v>
      </c>
      <c r="H90" s="5">
        <f t="array" ref="H90">SUMIFS(Physician_Visit_December, Physician_Visit_Practice, December!B90, Independent_Contractor_Visits,  'Physician Types'!$D$81) + SUMIFS(Physician_Minutes_December,Physician_Minutes_Practice,December!B90, Independent_Contractor_Minutes, 'Physician Types'!$D$81)/INDEX(Physician_Type_Visit_Minutes,MATCH(December!B90,Physician_Type_Practice,0))</f>
        <v>0</v>
      </c>
      <c r="I90" s="43">
        <f t="shared" si="10"/>
        <v>0</v>
      </c>
      <c r="J90" s="10">
        <f>E90*'Physician Types'!$E$4</f>
        <v>89.932337639290992</v>
      </c>
      <c r="K90" s="10">
        <f t="shared" si="8"/>
        <v>0</v>
      </c>
    </row>
    <row r="91" spans="1:11" x14ac:dyDescent="0.2">
      <c r="A91" s="158">
        <v>6</v>
      </c>
      <c r="B91" s="128" t="s">
        <v>71</v>
      </c>
      <c r="C91" s="5">
        <f>SUMIFS(Physician_Visit_December,Physician_Visit_Practice,December!B91,Physician_Visit_Hospitalists, "&lt;&gt;"&amp;'Physician Types'!$D$81)+SUMIFS(Physician_Visit_December,Physician_Visit_Practice,December!B91,Physician_Visit_Hospitalists,'Physician Types'!$D$81)*INDEX(Physician_Type_Hospitalists_Visit_Minutes,MATCH(December!B91,Physician_Type_Practice,0))/INDEX(Physician_Type_Visit_Minutes,MATCH(December!B91,Physician_Type_Practice,0)) +SUMIF(Physician_Minutes_Practice,December!B91,Physician_Minutes_December)/INDEX(Physician_Type_Visit_Minutes,MATCH(December!B91,Physician_Type_Practice,0))</f>
        <v>0</v>
      </c>
      <c r="D91" s="43">
        <f t="shared" si="9"/>
        <v>0</v>
      </c>
      <c r="E91" s="17">
        <f>INDEX(Physician_Type_Bed_Rate,MATCH(December!B91,Physician_Type_Practice,0))*'Hospital Input Page'!$C$4</f>
        <v>4912.3197447503335</v>
      </c>
      <c r="F91" s="9">
        <f t="shared" si="7"/>
        <v>0</v>
      </c>
      <c r="H91" s="5">
        <f t="array" ref="H91">SUMIFS(Physician_Visit_December, Physician_Visit_Practice, December!B91, Independent_Contractor_Visits,  'Physician Types'!$D$81) + SUMIFS(Physician_Minutes_December,Physician_Minutes_Practice,December!B91, Independent_Contractor_Minutes, 'Physician Types'!$D$81)/INDEX(Physician_Type_Visit_Minutes,MATCH(December!B91,Physician_Type_Practice,0))</f>
        <v>0</v>
      </c>
      <c r="I91" s="43">
        <f t="shared" si="10"/>
        <v>0</v>
      </c>
      <c r="J91" s="10">
        <f>E91*'Physician Types'!$E$4</f>
        <v>147.36959234251</v>
      </c>
      <c r="K91" s="10">
        <f t="shared" si="8"/>
        <v>0</v>
      </c>
    </row>
    <row r="92" spans="1:11" x14ac:dyDescent="0.2">
      <c r="A92" s="158">
        <v>4</v>
      </c>
      <c r="B92" s="128" t="s">
        <v>152</v>
      </c>
      <c r="C92" s="5">
        <f>SUMIFS(Physician_Visit_December,Physician_Visit_Practice,December!B92,Physician_Visit_Hospitalists, "&lt;&gt;"&amp;'Physician Types'!$D$81)+SUMIFS(Physician_Visit_December,Physician_Visit_Practice,December!B92,Physician_Visit_Hospitalists,'Physician Types'!$D$81)*INDEX(Physician_Type_Hospitalists_Visit_Minutes,MATCH(December!B92,Physician_Type_Practice,0))/INDEX(Physician_Type_Visit_Minutes,MATCH(December!B92,Physician_Type_Practice,0)) +SUMIF(Physician_Minutes_Practice,December!B92,Physician_Minutes_December)/INDEX(Physician_Type_Visit_Minutes,MATCH(December!B92,Physician_Type_Practice,0))</f>
        <v>0</v>
      </c>
      <c r="D92" s="43">
        <f t="shared" si="9"/>
        <v>0</v>
      </c>
      <c r="E92" s="17">
        <f>IFERROR(INDEX(Physician_Type_Bed_Rate,MATCH(December!B92,Physician_Type_Practice,0))*'Hospital Input Page'!$C$4,0)</f>
        <v>2664.0113037680594</v>
      </c>
      <c r="F92" s="9">
        <f t="shared" si="7"/>
        <v>0</v>
      </c>
      <c r="H92" s="5">
        <f t="array" ref="H92">SUMIFS(Physician_Visit_December, Physician_Visit_Practice, December!B92, Independent_Contractor_Visits,  'Physician Types'!$D$81) + SUMIFS(Physician_Minutes_December,Physician_Minutes_Practice,December!B92, Independent_Contractor_Minutes, 'Physician Types'!$D$81)/INDEX(Physician_Type_Visit_Minutes,MATCH(December!B92,Physician_Type_Practice,0))</f>
        <v>0</v>
      </c>
      <c r="I92" s="43">
        <f t="shared" si="10"/>
        <v>0</v>
      </c>
      <c r="J92" s="10">
        <f>E92*'Physician Types'!$E$4</f>
        <v>79.920339113041777</v>
      </c>
      <c r="K92" s="10">
        <f t="shared" si="8"/>
        <v>0</v>
      </c>
    </row>
    <row r="93" spans="1:11" x14ac:dyDescent="0.2">
      <c r="A93" s="158">
        <v>1</v>
      </c>
      <c r="B93" s="107" t="s">
        <v>30</v>
      </c>
      <c r="C93" s="5">
        <f>SUMIFS(Physician_Visit_December,Physician_Visit_Practice,December!B93,Physician_Visit_Hospitalists, "&lt;&gt;"&amp;'Physician Types'!$D$81)+SUMIFS(Physician_Visit_December,Physician_Visit_Practice,December!B93,Physician_Visit_Hospitalists,'Physician Types'!$D$81)*INDEX(Physician_Type_Hospitalists_Visit_Minutes,MATCH(December!B93,Physician_Type_Practice,0))/INDEX(Physician_Type_Visit_Minutes,MATCH(December!B93,Physician_Type_Practice,0)) +SUMIF(Physician_Minutes_Practice,December!B93,Physician_Minutes_December)/INDEX(Physician_Type_Visit_Minutes,MATCH(December!B93,Physician_Type_Practice,0))</f>
        <v>0</v>
      </c>
      <c r="D93" s="43">
        <f t="shared" si="9"/>
        <v>0</v>
      </c>
      <c r="E93" s="17">
        <f>INDEX(Physician_Type_Bed_Rate,MATCH(December!B93,Physician_Type_Practice,0))*'Hospital Input Page'!$C$4</f>
        <v>2544.9602491674359</v>
      </c>
      <c r="F93" s="9">
        <f t="shared" si="7"/>
        <v>0</v>
      </c>
      <c r="H93" s="5">
        <f t="array" ref="H93">SUMIFS(Physician_Visit_December, Physician_Visit_Practice, December!B93, Independent_Contractor_Visits,  'Physician Types'!$D$81) + SUMIFS(Physician_Minutes_December,Physician_Minutes_Practice,December!B93, Independent_Contractor_Minutes, 'Physician Types'!$D$81)/INDEX(Physician_Type_Visit_Minutes,MATCH(December!B93,Physician_Type_Practice,0))</f>
        <v>0</v>
      </c>
      <c r="I93" s="43">
        <f t="shared" si="10"/>
        <v>0</v>
      </c>
      <c r="J93" s="10">
        <f>E93*'Physician Types'!$E$4</f>
        <v>76.348807475023079</v>
      </c>
      <c r="K93" s="10">
        <f t="shared" si="8"/>
        <v>0</v>
      </c>
    </row>
    <row r="94" spans="1:11" x14ac:dyDescent="0.2">
      <c r="A94" s="158">
        <v>1</v>
      </c>
      <c r="B94" s="107" t="s">
        <v>31</v>
      </c>
      <c r="C94" s="5">
        <f>SUMIFS(Physician_Visit_December,Physician_Visit_Practice,December!B94,Physician_Visit_Hospitalists, "&lt;&gt;"&amp;'Physician Types'!$D$81)+SUMIFS(Physician_Visit_December,Physician_Visit_Practice,December!B94,Physician_Visit_Hospitalists,'Physician Types'!$D$81)*INDEX(Physician_Type_Hospitalists_Visit_Minutes,MATCH(December!B94,Physician_Type_Practice,0))/INDEX(Physician_Type_Visit_Minutes,MATCH(December!B94,Physician_Type_Practice,0)) +SUMIF(Physician_Minutes_Practice,December!B94,Physician_Minutes_December)/INDEX(Physician_Type_Visit_Minutes,MATCH(December!B94,Physician_Type_Practice,0))</f>
        <v>0</v>
      </c>
      <c r="D94" s="43">
        <f t="shared" si="9"/>
        <v>0</v>
      </c>
      <c r="E94" s="17">
        <f>INDEX(Physician_Type_Bed_Rate,MATCH(December!B94,Physician_Type_Practice,0))*'Hospital Input Page'!$C$4</f>
        <v>1258.818528154138</v>
      </c>
      <c r="F94" s="9">
        <f t="shared" si="7"/>
        <v>0</v>
      </c>
      <c r="H94" s="5">
        <f t="array" ref="H94">SUMIFS(Physician_Visit_December, Physician_Visit_Practice, December!B94, Independent_Contractor_Visits,  'Physician Types'!$D$81) + SUMIFS(Physician_Minutes_December,Physician_Minutes_Practice,December!B94, Independent_Contractor_Minutes, 'Physician Types'!$D$81)/INDEX(Physician_Type_Visit_Minutes,MATCH(December!B94,Physician_Type_Practice,0))</f>
        <v>0</v>
      </c>
      <c r="I94" s="43">
        <f t="shared" si="10"/>
        <v>0</v>
      </c>
      <c r="J94" s="10">
        <f>E94*'Physician Types'!$E$4</f>
        <v>37.764555844624141</v>
      </c>
      <c r="K94" s="10">
        <f t="shared" si="8"/>
        <v>0</v>
      </c>
    </row>
    <row r="95" spans="1:11" x14ac:dyDescent="0.2">
      <c r="A95" s="158">
        <v>2</v>
      </c>
      <c r="B95" s="107" t="s">
        <v>48</v>
      </c>
      <c r="C95" s="5">
        <f>SUMIFS(Physician_Visit_December,Physician_Visit_Practice,December!B95,Physician_Visit_Hospitalists, "&lt;&gt;"&amp;'Physician Types'!$D$81)+SUMIFS(Physician_Visit_December,Physician_Visit_Practice,December!B95,Physician_Visit_Hospitalists,'Physician Types'!$D$81)*INDEX(Physician_Type_Hospitalists_Visit_Minutes,MATCH(December!B95,Physician_Type_Practice,0))/INDEX(Physician_Type_Visit_Minutes,MATCH(December!B95,Physician_Type_Practice,0)) +SUMIF(Physician_Minutes_Practice,December!B95,Physician_Minutes_December)/INDEX(Physician_Type_Visit_Minutes,MATCH(December!B95,Physician_Type_Practice,0))</f>
        <v>0</v>
      </c>
      <c r="D95" s="43">
        <f t="shared" ref="D95" si="11">C95*INDEX(Physician_Type_Visit_Minutes,MATCH(B95,Physician_Type_Practice,0))/INDEX(Physician_Type_FTE_Minutes,MATCH(B95,Physician_Type_Practice,0))</f>
        <v>0</v>
      </c>
      <c r="E95" s="17">
        <f>INDEX(Physician_Type_Bed_Rate,MATCH(December!B95,Physician_Type_Practice,0))*'Hospital Input Page'!$C$4</f>
        <v>2336.1329894581445</v>
      </c>
      <c r="F95" s="9">
        <f t="shared" ref="F95" si="12">D95*E95</f>
        <v>0</v>
      </c>
      <c r="H95" s="5">
        <f t="array" ref="H95">SUMIFS(Physician_Visit_December, Physician_Visit_Practice, December!B95, Independent_Contractor_Visits,  'Physician Types'!$D$81) + SUMIFS(Physician_Minutes_December,Physician_Minutes_Practice,December!B95, Independent_Contractor_Minutes, 'Physician Types'!$D$81)/INDEX(Physician_Type_Visit_Minutes,MATCH(December!B95,Physician_Type_Practice,0))</f>
        <v>0</v>
      </c>
      <c r="I95" s="43">
        <f t="shared" ref="I95" si="13">H95*INDEX(Physician_Type_Visit_Minutes,MATCH(B95,Physician_Type_Practice,0))/INDEX(Physician_Type_FTE_Minutes,MATCH(B95,Physician_Type_Practice,0))</f>
        <v>0</v>
      </c>
      <c r="J95" s="10">
        <f>E95*'Physician Types'!$E$4</f>
        <v>70.083989683744335</v>
      </c>
      <c r="K95" s="10">
        <f t="shared" ref="K95" si="14">I95*J95</f>
        <v>0</v>
      </c>
    </row>
    <row r="96" spans="1:11" x14ac:dyDescent="0.2">
      <c r="A96" s="158">
        <v>2</v>
      </c>
      <c r="B96" s="107" t="s">
        <v>49</v>
      </c>
      <c r="C96" s="5">
        <f>SUMIFS(Physician_Visit_December,Physician_Visit_Practice,December!B96,Physician_Visit_Hospitalists, "&lt;&gt;"&amp;'Physician Types'!$D$81)+SUMIFS(Physician_Visit_December,Physician_Visit_Practice,December!B96,Physician_Visit_Hospitalists,'Physician Types'!$D$81)*INDEX(Physician_Type_Hospitalists_Visit_Minutes,MATCH(December!B96,Physician_Type_Practice,0))/INDEX(Physician_Type_Visit_Minutes,MATCH(December!B96,Physician_Type_Practice,0)) +SUMIF(Physician_Minutes_Practice,December!B96,Physician_Minutes_December)/INDEX(Physician_Type_Visit_Minutes,MATCH(December!B96,Physician_Type_Practice,0))</f>
        <v>0</v>
      </c>
      <c r="D96" s="43">
        <f t="shared" si="9"/>
        <v>0</v>
      </c>
      <c r="E96" s="17">
        <f>INDEX(Physician_Type_Bed_Rate,MATCH(December!B96,Physician_Type_Practice,0))*'Hospital Input Page'!$C$4</f>
        <v>1727.2161200254454</v>
      </c>
      <c r="F96" s="9">
        <f t="shared" si="7"/>
        <v>0</v>
      </c>
      <c r="H96" s="5">
        <f t="array" ref="H96">SUMIFS(Physician_Visit_December, Physician_Visit_Practice, December!B96, Independent_Contractor_Visits,  'Physician Types'!$D$81) + SUMIFS(Physician_Minutes_December,Physician_Minutes_Practice,December!B96, Independent_Contractor_Minutes, 'Physician Types'!$D$81)/INDEX(Physician_Type_Visit_Minutes,MATCH(December!B96,Physician_Type_Practice,0))</f>
        <v>0</v>
      </c>
      <c r="I96" s="43">
        <f t="shared" si="10"/>
        <v>0</v>
      </c>
      <c r="J96" s="10">
        <f>E96*'Physician Types'!$E$4</f>
        <v>51.816483600763362</v>
      </c>
      <c r="K96" s="10">
        <f t="shared" si="8"/>
        <v>0</v>
      </c>
    </row>
    <row r="97" spans="1:11" x14ac:dyDescent="0.2">
      <c r="A97" s="158">
        <v>1</v>
      </c>
      <c r="B97" s="107" t="s">
        <v>32</v>
      </c>
      <c r="C97" s="5">
        <f>SUMIFS(Physician_Visit_December,Physician_Visit_Practice,December!B97,Physician_Visit_Hospitalists, "&lt;&gt;"&amp;'Physician Types'!$D$81)+SUMIFS(Physician_Visit_December,Physician_Visit_Practice,December!B97,Physician_Visit_Hospitalists,'Physician Types'!$D$81)*INDEX(Physician_Type_Hospitalists_Visit_Minutes,MATCH(December!B97,Physician_Type_Practice,0))/INDEX(Physician_Type_Visit_Minutes,MATCH(December!B97,Physician_Type_Practice,0)) +SUMIF(Physician_Minutes_Practice,December!B97,Physician_Minutes_December)/INDEX(Physician_Type_Visit_Minutes,MATCH(December!B97,Physician_Type_Practice,0))</f>
        <v>0</v>
      </c>
      <c r="D97" s="43">
        <f t="shared" si="9"/>
        <v>0</v>
      </c>
      <c r="E97" s="17">
        <f>INDEX(Physician_Type_Bed_Rate,MATCH(December!B97,Physician_Type_Practice,0))*'Hospital Input Page'!$C$4</f>
        <v>1297.8516608100804</v>
      </c>
      <c r="F97" s="9">
        <f t="shared" si="7"/>
        <v>0</v>
      </c>
      <c r="H97" s="5">
        <f t="array" ref="H97">SUMIFS(Physician_Visit_December, Physician_Visit_Practice, December!B97, Independent_Contractor_Visits,  'Physician Types'!$D$81) + SUMIFS(Physician_Minutes_December,Physician_Minutes_Practice,December!B97, Independent_Contractor_Minutes, 'Physician Types'!$D$81)/INDEX(Physician_Type_Visit_Minutes,MATCH(December!B97,Physician_Type_Practice,0))</f>
        <v>0</v>
      </c>
      <c r="I97" s="43">
        <f t="shared" si="10"/>
        <v>0</v>
      </c>
      <c r="J97" s="10">
        <f>E97*'Physician Types'!$E$4</f>
        <v>38.935549824302413</v>
      </c>
      <c r="K97" s="10">
        <f t="shared" si="8"/>
        <v>0</v>
      </c>
    </row>
    <row r="98" spans="1:11" x14ac:dyDescent="0.2">
      <c r="A98" s="158"/>
      <c r="B98" s="102" t="s">
        <v>20</v>
      </c>
      <c r="C98" s="5">
        <f>SUMIFS(Physician_Visit_December,Physician_Visit_Practice,December!B98,Physician_Visit_Hospitalists, "&lt;&gt;"&amp;'Physician Types'!$D$81)+SUMIFS(Physician_Visit_December,Physician_Visit_Practice,December!B98,Physician_Visit_Hospitalists,'Physician Types'!$D$81)*INDEX(Physician_Type_Hospitalists_Visit_Minutes,MATCH(December!B98,Physician_Type_Practice,0))/INDEX(Physician_Type_Visit_Minutes,MATCH(December!B98,Physician_Type_Practice,0)) +SUMIF(Physician_Minutes_Practice,December!B98,Physician_Minutes_December)/INDEX(Physician_Type_Visit_Minutes,MATCH(December!B98,Physician_Type_Practice,0))</f>
        <v>510</v>
      </c>
      <c r="D98" s="43">
        <f t="shared" si="9"/>
        <v>0.98078809207869366</v>
      </c>
      <c r="E98" s="17">
        <f>INDEX(Physician_Type_Bed_Rate,MATCH(December!B98,Physician_Type_Practice,0))*'Hospital Input Page'!$C$4</f>
        <v>493.76912809766964</v>
      </c>
      <c r="F98" s="9">
        <f t="shared" si="7"/>
        <v>484.28288107427352</v>
      </c>
      <c r="H98" s="5">
        <f t="array" ref="H98">SUMIFS(Physician_Visit_December, Physician_Visit_Practice, December!B98, Independent_Contractor_Visits,  'Physician Types'!$D$81) + SUMIFS(Physician_Minutes_December,Physician_Minutes_Practice,December!B98, Independent_Contractor_Minutes, 'Physician Types'!$D$81)/INDEX(Physician_Type_Visit_Minutes,MATCH(December!B98,Physician_Type_Practice,0))</f>
        <v>0</v>
      </c>
      <c r="I98" s="43">
        <f t="shared" si="10"/>
        <v>0</v>
      </c>
      <c r="J98" s="10">
        <f>E98*'Physician Types'!$E$4</f>
        <v>14.813073842930088</v>
      </c>
      <c r="K98" s="10">
        <f t="shared" si="8"/>
        <v>0</v>
      </c>
    </row>
    <row r="99" spans="1:11" x14ac:dyDescent="0.2">
      <c r="A99" s="158">
        <v>1</v>
      </c>
      <c r="B99" s="107" t="s">
        <v>33</v>
      </c>
      <c r="C99" s="5">
        <f>SUMIFS(Physician_Visit_December,Physician_Visit_Practice,December!B99,Physician_Visit_Hospitalists, "&lt;&gt;"&amp;'Physician Types'!$D$81)+SUMIFS(Physician_Visit_December,Physician_Visit_Practice,December!B99,Physician_Visit_Hospitalists,'Physician Types'!$D$81)*INDEX(Physician_Type_Hospitalists_Visit_Minutes,MATCH(December!B99,Physician_Type_Practice,0))/INDEX(Physician_Type_Visit_Minutes,MATCH(December!B99,Physician_Type_Practice,0)) +SUMIF(Physician_Minutes_Practice,December!B99,Physician_Minutes_December)/INDEX(Physician_Type_Visit_Minutes,MATCH(December!B99,Physician_Type_Practice,0))</f>
        <v>0</v>
      </c>
      <c r="D99" s="43">
        <f t="shared" si="9"/>
        <v>0</v>
      </c>
      <c r="E99" s="17">
        <f>INDEX(Physician_Type_Bed_Rate,MATCH(December!B99,Physician_Type_Practice,0))*'Hospital Input Page'!$C$4</f>
        <v>1268.5768113181236</v>
      </c>
      <c r="F99" s="9">
        <f t="shared" si="7"/>
        <v>0</v>
      </c>
      <c r="H99" s="5">
        <f t="array" ref="H99">SUMIFS(Physician_Visit_December, Physician_Visit_Practice, December!B99, Independent_Contractor_Visits,  'Physician Types'!$D$81) + SUMIFS(Physician_Minutes_December,Physician_Minutes_Practice,December!B99, Independent_Contractor_Minutes, 'Physician Types'!$D$81)/INDEX(Physician_Type_Visit_Minutes,MATCH(December!B99,Physician_Type_Practice,0))</f>
        <v>0</v>
      </c>
      <c r="I99" s="43">
        <f t="shared" si="10"/>
        <v>0</v>
      </c>
      <c r="J99" s="10">
        <f>E99*'Physician Types'!$E$4</f>
        <v>38.057304339543705</v>
      </c>
      <c r="K99" s="10">
        <f t="shared" si="8"/>
        <v>0</v>
      </c>
    </row>
    <row r="100" spans="1:11" x14ac:dyDescent="0.2">
      <c r="A100" s="158">
        <v>2</v>
      </c>
      <c r="B100" s="107" t="s">
        <v>50</v>
      </c>
      <c r="C100" s="5">
        <f>SUMIFS(Physician_Visit_December,Physician_Visit_Practice,December!B100,Physician_Visit_Hospitalists, "&lt;&gt;"&amp;'Physician Types'!$D$81)+SUMIFS(Physician_Visit_December,Physician_Visit_Practice,December!B100,Physician_Visit_Hospitalists,'Physician Types'!$D$81)*INDEX(Physician_Type_Hospitalists_Visit_Minutes,MATCH(December!B100,Physician_Type_Practice,0))/INDEX(Physician_Type_Visit_Minutes,MATCH(December!B100,Physician_Type_Practice,0)) +SUMIF(Physician_Minutes_Practice,December!B100,Physician_Minutes_December)/INDEX(Physician_Type_Visit_Minutes,MATCH(December!B100,Physician_Type_Practice,0))</f>
        <v>0</v>
      </c>
      <c r="D100" s="43">
        <f t="shared" si="9"/>
        <v>0</v>
      </c>
      <c r="E100" s="17">
        <f>INDEX(Physician_Type_Bed_Rate,MATCH(December!B100,Physician_Type_Practice,0))*'Hospital Input Page'!$C$4</f>
        <v>2529.3469961050587</v>
      </c>
      <c r="F100" s="9">
        <f t="shared" si="7"/>
        <v>0</v>
      </c>
      <c r="H100" s="5">
        <f t="array" ref="H100">SUMIFS(Physician_Visit_December, Physician_Visit_Practice, December!B100, Independent_Contractor_Visits,  'Physician Types'!$D$81) + SUMIFS(Physician_Minutes_December,Physician_Minutes_Practice,December!B100, Independent_Contractor_Minutes, 'Physician Types'!$D$81)/INDEX(Physician_Type_Visit_Minutes,MATCH(December!B100,Physician_Type_Practice,0))</f>
        <v>0</v>
      </c>
      <c r="I100" s="43">
        <f t="shared" si="10"/>
        <v>0</v>
      </c>
      <c r="J100" s="10">
        <f>E100*'Physician Types'!$E$4</f>
        <v>75.880409883151756</v>
      </c>
      <c r="K100" s="10">
        <f t="shared" si="8"/>
        <v>0</v>
      </c>
    </row>
    <row r="101" spans="1:11" x14ac:dyDescent="0.2">
      <c r="A101" s="158">
        <v>2</v>
      </c>
      <c r="B101" s="107" t="s">
        <v>51</v>
      </c>
      <c r="C101" s="5">
        <f>SUMIFS(Physician_Visit_December,Physician_Visit_Practice,December!B101,Physician_Visit_Hospitalists, "&lt;&gt;"&amp;'Physician Types'!$D$81)+SUMIFS(Physician_Visit_December,Physician_Visit_Practice,December!B101,Physician_Visit_Hospitalists,'Physician Types'!$D$81)*INDEX(Physician_Type_Hospitalists_Visit_Minutes,MATCH(December!B101,Physician_Type_Practice,0))/INDEX(Physician_Type_Visit_Minutes,MATCH(December!B101,Physician_Type_Practice,0)) +SUMIF(Physician_Minutes_Practice,December!B101,Physician_Minutes_December)/INDEX(Physician_Type_Visit_Minutes,MATCH(December!B101,Physician_Type_Practice,0))</f>
        <v>0</v>
      </c>
      <c r="D101" s="43">
        <f t="shared" si="9"/>
        <v>0</v>
      </c>
      <c r="E101" s="17">
        <f>INDEX(Physician_Type_Bed_Rate,MATCH(December!B101,Physician_Type_Practice,0))*'Hospital Input Page'!$C$4</f>
        <v>1887.2519639148086</v>
      </c>
      <c r="F101" s="9">
        <f t="shared" si="7"/>
        <v>0</v>
      </c>
      <c r="H101" s="5">
        <f t="array" ref="H101">SUMIFS(Physician_Visit_December, Physician_Visit_Practice, December!B101, Independent_Contractor_Visits,  'Physician Types'!$D$81) + SUMIFS(Physician_Minutes_December,Physician_Minutes_Practice,December!B101, Independent_Contractor_Minutes, 'Physician Types'!$D$81)/INDEX(Physician_Type_Visit_Minutes,MATCH(December!B101,Physician_Type_Practice,0))</f>
        <v>0</v>
      </c>
      <c r="I101" s="43">
        <f t="shared" si="10"/>
        <v>0</v>
      </c>
      <c r="J101" s="10">
        <f>E101*'Physician Types'!$E$4</f>
        <v>56.617558917444256</v>
      </c>
      <c r="K101" s="10">
        <f t="shared" si="8"/>
        <v>0</v>
      </c>
    </row>
    <row r="102" spans="1:11" x14ac:dyDescent="0.2">
      <c r="A102" s="158">
        <v>2</v>
      </c>
      <c r="B102" s="107" t="s">
        <v>52</v>
      </c>
      <c r="C102" s="5">
        <f>SUMIFS(Physician_Visit_December,Physician_Visit_Practice,December!B102,Physician_Visit_Hospitalists, "&lt;&gt;"&amp;'Physician Types'!$D$81)+SUMIFS(Physician_Visit_December,Physician_Visit_Practice,December!B102,Physician_Visit_Hospitalists,'Physician Types'!$D$81)*INDEX(Physician_Type_Hospitalists_Visit_Minutes,MATCH(December!B102,Physician_Type_Practice,0))/INDEX(Physician_Type_Visit_Minutes,MATCH(December!B102,Physician_Type_Practice,0)) +SUMIF(Physician_Minutes_Practice,December!B102,Physician_Minutes_December)/INDEX(Physician_Type_Visit_Minutes,MATCH(December!B102,Physician_Type_Practice,0))</f>
        <v>0</v>
      </c>
      <c r="D102" s="43">
        <f t="shared" si="9"/>
        <v>0</v>
      </c>
      <c r="E102" s="17">
        <f>INDEX(Physician_Type_Bed_Rate,MATCH(December!B102,Physician_Type_Practice,0))*'Hospital Input Page'!$C$4</f>
        <v>2088.2725970929114</v>
      </c>
      <c r="F102" s="9">
        <f t="shared" si="7"/>
        <v>0</v>
      </c>
      <c r="H102" s="5">
        <f t="array" ref="H102">SUMIFS(Physician_Visit_December, Physician_Visit_Practice, December!B102, Independent_Contractor_Visits,  'Physician Types'!$D$81) + SUMIFS(Physician_Minutes_December,Physician_Minutes_Practice,December!B102, Independent_Contractor_Minutes, 'Physician Types'!$D$81)/INDEX(Physician_Type_Visit_Minutes,MATCH(December!B102,Physician_Type_Practice,0))</f>
        <v>0</v>
      </c>
      <c r="I102" s="43">
        <f t="shared" si="10"/>
        <v>0</v>
      </c>
      <c r="J102" s="10">
        <f>E102*'Physician Types'!$E$4</f>
        <v>62.648177912787339</v>
      </c>
      <c r="K102" s="10">
        <f t="shared" si="8"/>
        <v>0</v>
      </c>
    </row>
    <row r="103" spans="1:11" x14ac:dyDescent="0.2">
      <c r="A103" s="158">
        <v>4</v>
      </c>
      <c r="B103" s="107" t="s">
        <v>52</v>
      </c>
      <c r="C103" s="5">
        <f>SUMIFS(Physician_Visit_December,Physician_Visit_Practice,December!B103,Physician_Visit_Hospitalists, "&lt;&gt;"&amp;'Physician Types'!$D$81)+SUMIFS(Physician_Visit_December,Physician_Visit_Practice,December!B103,Physician_Visit_Hospitalists,'Physician Types'!$D$81)*INDEX(Physician_Type_Hospitalists_Visit_Minutes,MATCH(December!B103,Physician_Type_Practice,0))/INDEX(Physician_Type_Visit_Minutes,MATCH(December!B103,Physician_Type_Practice,0)) +SUMIF(Physician_Minutes_Practice,December!B103,Physician_Minutes_December)/INDEX(Physician_Type_Visit_Minutes,MATCH(December!B103,Physician_Type_Practice,0))</f>
        <v>0</v>
      </c>
      <c r="D103" s="43">
        <f t="shared" si="9"/>
        <v>0</v>
      </c>
      <c r="E103" s="17">
        <f>INDEX(Physician_Type_Bed_Rate,MATCH(December!B103,Physician_Type_Practice,0))*'Hospital Input Page'!$C$4</f>
        <v>2088.2725970929114</v>
      </c>
      <c r="F103" s="9">
        <f t="shared" si="7"/>
        <v>0</v>
      </c>
      <c r="H103" s="5">
        <f t="array" ref="H103">SUMIFS(Physician_Visit_December, Physician_Visit_Practice, December!B103, Independent_Contractor_Visits,  'Physician Types'!$D$81) + SUMIFS(Physician_Minutes_December,Physician_Minutes_Practice,December!B103, Independent_Contractor_Minutes, 'Physician Types'!$D$81)/INDEX(Physician_Type_Visit_Minutes,MATCH(December!B103,Physician_Type_Practice,0))</f>
        <v>0</v>
      </c>
      <c r="I103" s="43">
        <f t="shared" si="10"/>
        <v>0</v>
      </c>
      <c r="J103" s="10">
        <f>E103*'Physician Types'!$E$4</f>
        <v>62.648177912787339</v>
      </c>
      <c r="K103" s="10">
        <f t="shared" si="8"/>
        <v>0</v>
      </c>
    </row>
    <row r="104" spans="1:11" x14ac:dyDescent="0.2">
      <c r="A104" s="158">
        <v>5</v>
      </c>
      <c r="B104" s="102" t="s">
        <v>68</v>
      </c>
      <c r="C104" s="5">
        <f>SUMIFS(Physician_Visit_December,Physician_Visit_Practice,December!B104,Physician_Visit_Hospitalists, "&lt;&gt;"&amp;'Physician Types'!$D$81)+SUMIFS(Physician_Visit_December,Physician_Visit_Practice,December!B104,Physician_Visit_Hospitalists,'Physician Types'!$D$81)*INDEX(Physician_Type_Hospitalists_Visit_Minutes,MATCH(December!B104,Physician_Type_Practice,0))/INDEX(Physician_Type_Visit_Minutes,MATCH(December!B104,Physician_Type_Practice,0)) +SUMIF(Physician_Minutes_Practice,December!B104,Physician_Minutes_December)/INDEX(Physician_Type_Visit_Minutes,MATCH(December!B104,Physician_Type_Practice,0))</f>
        <v>0</v>
      </c>
      <c r="D104" s="43">
        <f t="shared" si="9"/>
        <v>0</v>
      </c>
      <c r="E104" s="17">
        <f>INDEX(Physician_Type_Bed_Rate,MATCH(December!B104,Physician_Type_Practice,0))*'Hospital Input Page'!$C$4</f>
        <v>2708.8994063223927</v>
      </c>
      <c r="F104" s="9">
        <f t="shared" si="7"/>
        <v>0</v>
      </c>
      <c r="H104" s="5">
        <f t="array" ref="H104">SUMIFS(Physician_Visit_December, Physician_Visit_Practice, December!B104, Independent_Contractor_Visits,  'Physician Types'!$D$81) + SUMIFS(Physician_Minutes_December,Physician_Minutes_Practice,December!B104, Independent_Contractor_Minutes, 'Physician Types'!$D$81)/INDEX(Physician_Type_Visit_Minutes,MATCH(December!B104,Physician_Type_Practice,0))</f>
        <v>0</v>
      </c>
      <c r="I104" s="43">
        <f t="shared" si="10"/>
        <v>0</v>
      </c>
      <c r="J104" s="10">
        <f>E104*'Physician Types'!$E$4</f>
        <v>81.266982189671779</v>
      </c>
      <c r="K104" s="10">
        <f t="shared" si="8"/>
        <v>0</v>
      </c>
    </row>
    <row r="105" spans="1:11" x14ac:dyDescent="0.2">
      <c r="A105" s="158">
        <v>2</v>
      </c>
      <c r="B105" s="107" t="s">
        <v>53</v>
      </c>
      <c r="C105" s="5">
        <f>SUMIFS(Physician_Visit_December,Physician_Visit_Practice,December!B105,Physician_Visit_Hospitalists, "&lt;&gt;"&amp;'Physician Types'!$D$81)+SUMIFS(Physician_Visit_December,Physician_Visit_Practice,December!B105,Physician_Visit_Hospitalists,'Physician Types'!$D$81)*INDEX(Physician_Type_Hospitalists_Visit_Minutes,MATCH(December!B105,Physician_Type_Practice,0))/INDEX(Physician_Type_Visit_Minutes,MATCH(December!B105,Physician_Type_Practice,0)) +SUMIF(Physician_Minutes_Practice,December!B105,Physician_Minutes_December)/INDEX(Physician_Type_Visit_Minutes,MATCH(December!B105,Physician_Type_Practice,0))</f>
        <v>0</v>
      </c>
      <c r="D105" s="43">
        <f t="shared" si="9"/>
        <v>0</v>
      </c>
      <c r="E105" s="17">
        <f>INDEX(Physician_Type_Bed_Rate,MATCH(December!B105,Physician_Type_Practice,0))*'Hospital Input Page'!$C$4</f>
        <v>1619.8750052216039</v>
      </c>
      <c r="F105" s="9">
        <f t="shared" si="7"/>
        <v>0</v>
      </c>
      <c r="H105" s="5">
        <f t="array" ref="H105">SUMIFS(Physician_Visit_December, Physician_Visit_Practice, December!B105, Independent_Contractor_Visits,  'Physician Types'!$D$81) + SUMIFS(Physician_Minutes_December,Physician_Minutes_Practice,December!B105, Independent_Contractor_Minutes, 'Physician Types'!$D$81)/INDEX(Physician_Type_Visit_Minutes,MATCH(December!B105,Physician_Type_Practice,0))</f>
        <v>0</v>
      </c>
      <c r="I105" s="43">
        <f t="shared" si="10"/>
        <v>0</v>
      </c>
      <c r="J105" s="10">
        <f>E105*'Physician Types'!$E$4</f>
        <v>48.596250156648118</v>
      </c>
      <c r="K105" s="10">
        <f t="shared" si="8"/>
        <v>0</v>
      </c>
    </row>
    <row r="106" spans="1:11" x14ac:dyDescent="0.2">
      <c r="A106" s="158">
        <v>3</v>
      </c>
      <c r="B106" s="102" t="s">
        <v>59</v>
      </c>
      <c r="C106" s="5">
        <f>SUMIFS(Physician_Visit_December,Physician_Visit_Practice,December!B106,Physician_Visit_Hospitalists, "&lt;&gt;"&amp;'Physician Types'!$D$81)+SUMIFS(Physician_Visit_December,Physician_Visit_Practice,December!B106,Physician_Visit_Hospitalists,'Physician Types'!$D$81)*INDEX(Physician_Type_Hospitalists_Visit_Minutes,MATCH(December!B106,Physician_Type_Practice,0))/INDEX(Physician_Type_Visit_Minutes,MATCH(December!B106,Physician_Type_Practice,0)) +SUMIF(Physician_Minutes_Practice,December!B106,Physician_Minutes_December)/INDEX(Physician_Type_Visit_Minutes,MATCH(December!B106,Physician_Type_Practice,0))</f>
        <v>0</v>
      </c>
      <c r="D106" s="43">
        <f t="shared" si="9"/>
        <v>0</v>
      </c>
      <c r="E106" s="17">
        <f>INDEX(Physician_Type_Bed_Rate,MATCH(December!B106,Physician_Type_Practice,0))*'Hospital Input Page'!$C$4</f>
        <v>380.57304339543714</v>
      </c>
      <c r="F106" s="9">
        <f t="shared" si="7"/>
        <v>0</v>
      </c>
      <c r="H106" s="5">
        <f t="array" ref="H106">SUMIFS(Physician_Visit_December, Physician_Visit_Practice, December!B106, Independent_Contractor_Visits,  'Physician Types'!$D$81) + SUMIFS(Physician_Minutes_December,Physician_Minutes_Practice,December!B106, Independent_Contractor_Minutes, 'Physician Types'!$D$81)/INDEX(Physician_Type_Visit_Minutes,MATCH(December!B106,Physician_Type_Practice,0))</f>
        <v>0</v>
      </c>
      <c r="I106" s="43">
        <f t="shared" si="10"/>
        <v>0</v>
      </c>
      <c r="J106" s="10">
        <f>E106*'Physician Types'!$E$4</f>
        <v>11.417191301863113</v>
      </c>
      <c r="K106" s="10">
        <f t="shared" si="8"/>
        <v>0</v>
      </c>
    </row>
    <row r="107" spans="1:11" x14ac:dyDescent="0.2">
      <c r="A107" s="158">
        <v>7</v>
      </c>
      <c r="B107" s="102" t="s">
        <v>75</v>
      </c>
      <c r="C107" s="5">
        <f>SUMIFS(Physician_Visit_December,Physician_Visit_Practice,December!B107,Physician_Visit_Hospitalists, "&lt;&gt;"&amp;'Physician Types'!$D$81)+SUMIFS(Physician_Visit_December,Physician_Visit_Practice,December!B107,Physician_Visit_Hospitalists,'Physician Types'!$D$81)*INDEX(Physician_Type_Hospitalists_Visit_Minutes,MATCH(December!B107,Physician_Type_Practice,0))/INDEX(Physician_Type_Visit_Minutes,MATCH(December!B107,Physician_Type_Practice,0)) +SUMIF(Physician_Minutes_Practice,December!B107,Physician_Minutes_December)/INDEX(Physician_Type_Visit_Minutes,MATCH(December!B107,Physician_Type_Practice,0))</f>
        <v>0</v>
      </c>
      <c r="D107" s="43">
        <f t="shared" si="9"/>
        <v>0</v>
      </c>
      <c r="E107" s="17">
        <f>INDEX(Physician_Type_Bed_Rate,MATCH(December!B107,Physician_Type_Practice,0))*'Hospital Input Page'!$C$4</f>
        <v>7974.4690016090053</v>
      </c>
      <c r="F107" s="9">
        <f t="shared" si="7"/>
        <v>0</v>
      </c>
      <c r="H107" s="5">
        <f t="array" ref="H107">SUMIFS(Physician_Visit_December, Physician_Visit_Practice, December!B107, Independent_Contractor_Visits,  'Physician Types'!$D$81) + SUMIFS(Physician_Minutes_December,Physician_Minutes_Practice,December!B107, Independent_Contractor_Minutes, 'Physician Types'!$D$81)/INDEX(Physician_Type_Visit_Minutes,MATCH(December!B107,Physician_Type_Practice,0))</f>
        <v>0</v>
      </c>
      <c r="I107" s="43">
        <f t="shared" si="10"/>
        <v>0</v>
      </c>
      <c r="J107" s="10">
        <f>E107*'Physician Types'!$E$4</f>
        <v>239.23407004827015</v>
      </c>
      <c r="K107" s="10">
        <f t="shared" si="8"/>
        <v>0</v>
      </c>
    </row>
    <row r="108" spans="1:11" x14ac:dyDescent="0.2">
      <c r="A108" s="158">
        <v>4</v>
      </c>
      <c r="B108" s="128" t="s">
        <v>140</v>
      </c>
      <c r="C108" s="5">
        <f>SUMIFS(Physician_Visit_December,Physician_Visit_Practice,December!B108,Physician_Visit_Hospitalists, "&lt;&gt;"&amp;'Physician Types'!$D$81)+SUMIFS(Physician_Visit_December,Physician_Visit_Practice,December!B108,Physician_Visit_Hospitalists,'Physician Types'!$D$81)*INDEX(Physician_Type_Hospitalists_Visit_Minutes,MATCH(December!B108,Physician_Type_Practice,0))/INDEX(Physician_Type_Visit_Minutes,MATCH(December!B108,Physician_Type_Practice,0)) +SUMIF(Physician_Minutes_Practice,December!B108,Physician_Minutes_December)/INDEX(Physician_Type_Visit_Minutes,MATCH(December!B108,Physician_Type_Practice,0))</f>
        <v>0</v>
      </c>
      <c r="D108" s="43">
        <f t="shared" si="9"/>
        <v>0</v>
      </c>
      <c r="E108" s="17">
        <f>INDEX(Physician_Type_Bed_Rate,MATCH(December!B108,Physician_Type_Practice,0))*'Hospital Input Page'!$C$4</f>
        <v>3159.7320884985265</v>
      </c>
      <c r="F108" s="9">
        <f t="shared" si="7"/>
        <v>0</v>
      </c>
      <c r="H108" s="5">
        <f t="array" ref="H108">SUMIFS(Physician_Visit_December, Physician_Visit_Practice, December!B108, Independent_Contractor_Visits,  'Physician Types'!$D$81) + SUMIFS(Physician_Minutes_December,Physician_Minutes_Practice,December!B108, Independent_Contractor_Minutes, 'Physician Types'!$D$81)/INDEX(Physician_Type_Visit_Minutes,MATCH(December!B108,Physician_Type_Practice,0))</f>
        <v>0</v>
      </c>
      <c r="I108" s="43">
        <f t="shared" si="10"/>
        <v>0</v>
      </c>
      <c r="J108" s="10">
        <f>E108*'Physician Types'!$E$4</f>
        <v>94.791962654955796</v>
      </c>
      <c r="K108" s="10">
        <f t="shared" si="8"/>
        <v>0</v>
      </c>
    </row>
    <row r="109" spans="1:11" x14ac:dyDescent="0.2">
      <c r="A109" s="158">
        <v>7</v>
      </c>
      <c r="B109" s="102" t="s">
        <v>76</v>
      </c>
      <c r="C109" s="5">
        <f>SUMIFS(Physician_Visit_December,Physician_Visit_Practice,December!B109,Physician_Visit_Hospitalists, "&lt;&gt;"&amp;'Physician Types'!$D$81)+SUMIFS(Physician_Visit_December,Physician_Visit_Practice,December!B109,Physician_Visit_Hospitalists,'Physician Types'!$D$81)*INDEX(Physician_Type_Hospitalists_Visit_Minutes,MATCH(December!B109,Physician_Type_Practice,0))/INDEX(Physician_Type_Visit_Minutes,MATCH(December!B109,Physician_Type_Practice,0)) +SUMIF(Physician_Minutes_Practice,December!B109,Physician_Minutes_December)/INDEX(Physician_Type_Visit_Minutes,MATCH(December!B109,Physician_Type_Practice,0))</f>
        <v>0</v>
      </c>
      <c r="D109" s="43">
        <f t="shared" si="9"/>
        <v>0</v>
      </c>
      <c r="E109" s="17">
        <f>INDEX(Physician_Type_Bed_Rate,MATCH(December!B109,Physician_Type_Practice,0))*'Hospital Input Page'!$C$4</f>
        <v>7709.0436995485979</v>
      </c>
      <c r="F109" s="9">
        <f t="shared" si="7"/>
        <v>0</v>
      </c>
      <c r="H109" s="5">
        <f t="array" ref="H109">SUMIFS(Physician_Visit_December, Physician_Visit_Practice, December!B109, Independent_Contractor_Visits,  'Physician Types'!$D$81) + SUMIFS(Physician_Minutes_December,Physician_Minutes_Practice,December!B109, Independent_Contractor_Minutes, 'Physician Types'!$D$81)/INDEX(Physician_Type_Visit_Minutes,MATCH(December!B109,Physician_Type_Practice,0))</f>
        <v>0</v>
      </c>
      <c r="I109" s="43">
        <f t="shared" si="10"/>
        <v>0</v>
      </c>
      <c r="J109" s="10">
        <f>E109*'Physician Types'!$E$4</f>
        <v>231.27131098645793</v>
      </c>
      <c r="K109" s="10">
        <f t="shared" si="8"/>
        <v>0</v>
      </c>
    </row>
    <row r="110" spans="1:11" x14ac:dyDescent="0.2">
      <c r="A110" s="102"/>
      <c r="B110" s="164" t="s">
        <v>156</v>
      </c>
      <c r="C110" s="5" t="e">
        <f>SUMIFS(Physician_Visit_December,Physician_Visit_Practice,December!B110,Physician_Visit_Hospitalists, "&lt;&gt;"&amp;'Physician Types'!$D$81)+SUMIFS(Physician_Visit_December,Physician_Visit_Practice,December!B110,Physician_Visit_Hospitalists,'Physician Types'!$D$81)*INDEX(Physician_Type_Hospitalists_Visit_Minutes,MATCH(December!B110,Physician_Type_Practice,0))/INDEX(Physician_Type_Visit_Minutes,MATCH(December!B110,Physician_Type_Practice,0)) +SUMIF(Physician_Minutes_Practice,December!B110,Physician_Minutes_December)/INDEX(Physician_Type_Visit_Minutes,MATCH(December!B110,Physician_Type_Practice,0))</f>
        <v>#REF!</v>
      </c>
      <c r="D110" s="43" t="e">
        <f t="shared" si="9"/>
        <v>#REF!</v>
      </c>
      <c r="E110" s="17" t="e">
        <f>INDEX(Physician_Type_Bed_Rate,MATCH(December!B110,Physician_Type_Practice,0))*'Hospital Input Page'!$C$4</f>
        <v>#REF!</v>
      </c>
      <c r="F110" s="9" t="e">
        <f t="shared" si="7"/>
        <v>#REF!</v>
      </c>
      <c r="H110" s="5" t="e">
        <f t="array" ref="H110">SUMIFS(Physician_Visit_December, Physician_Visit_Practice, December!B110, Independent_Contractor_Visits,  'Physician Types'!$D$81) + SUMIFS(Physician_Minutes_December,Physician_Minutes_Practice,December!B110, Independent_Contractor_Minutes, 'Physician Types'!$D$81)/INDEX(Physician_Type_Visit_Minutes,MATCH(December!B110,Physician_Type_Practice,0))</f>
        <v>#REF!</v>
      </c>
      <c r="I110" s="43" t="e">
        <f t="shared" si="10"/>
        <v>#REF!</v>
      </c>
      <c r="J110" s="10" t="e">
        <f>E110*'Physician Types'!$E$4</f>
        <v>#REF!</v>
      </c>
      <c r="K110" s="10" t="e">
        <f t="shared" si="8"/>
        <v>#REF!</v>
      </c>
    </row>
    <row r="111" spans="1:11" x14ac:dyDescent="0.2">
      <c r="A111" s="102"/>
      <c r="B111" s="164" t="s">
        <v>156</v>
      </c>
      <c r="C111" s="5" t="e">
        <f>SUMIFS(Physician_Visit_December,Physician_Visit_Practice,December!B111,Physician_Visit_Hospitalists, "&lt;&gt;"&amp;'Physician Types'!$D$81)+SUMIFS(Physician_Visit_December,Physician_Visit_Practice,December!B111,Physician_Visit_Hospitalists,'Physician Types'!$D$81)*INDEX(Physician_Type_Hospitalists_Visit_Minutes,MATCH(December!B111,Physician_Type_Practice,0))/INDEX(Physician_Type_Visit_Minutes,MATCH(December!B111,Physician_Type_Practice,0)) +SUMIF(Physician_Minutes_Practice,December!B111,Physician_Minutes_December)/INDEX(Physician_Type_Visit_Minutes,MATCH(December!B111,Physician_Type_Practice,0))</f>
        <v>#REF!</v>
      </c>
      <c r="D111" s="43" t="e">
        <f t="shared" ref="D111:D112" si="15">C111*INDEX(Physician_Type_Visit_Minutes,MATCH(B111,Physician_Type_Practice,0))/INDEX(Physician_Type_FTE_Minutes,MATCH(B111,Physician_Type_Practice,0))</f>
        <v>#REF!</v>
      </c>
      <c r="E111" s="17" t="e">
        <f>INDEX(Physician_Type_Bed_Rate,MATCH(December!B111,Physician_Type_Practice,0))*'Hospital Input Page'!$C$4</f>
        <v>#REF!</v>
      </c>
      <c r="F111" s="9" t="e">
        <f t="shared" si="7"/>
        <v>#REF!</v>
      </c>
      <c r="H111" s="5" t="e">
        <f t="array" ref="H111">SUMIFS(Physician_Visit_December, Physician_Visit_Practice, December!B111, Independent_Contractor_Visits,  'Physician Types'!$D$81) + SUMIFS(Physician_Minutes_December,Physician_Minutes_Practice,December!B111, Independent_Contractor_Minutes, 'Physician Types'!$D$81)/INDEX(Physician_Type_Visit_Minutes,MATCH(December!B111,Physician_Type_Practice,0))</f>
        <v>#REF!</v>
      </c>
      <c r="I111" s="43" t="e">
        <f t="shared" ref="I111:I112" si="16">H111*INDEX(Physician_Type_Visit_Minutes,MATCH(B111,Physician_Type_Practice,0))/INDEX(Physician_Type_FTE_Minutes,MATCH(B111,Physician_Type_Practice,0))</f>
        <v>#REF!</v>
      </c>
      <c r="J111" s="10" t="e">
        <f>E111*'Physician Types'!$E$4</f>
        <v>#REF!</v>
      </c>
      <c r="K111" s="10" t="e">
        <f t="shared" si="8"/>
        <v>#REF!</v>
      </c>
    </row>
    <row r="112" spans="1:11" x14ac:dyDescent="0.2">
      <c r="A112" s="102"/>
      <c r="B112" s="164" t="s">
        <v>156</v>
      </c>
      <c r="C112" s="5" t="e">
        <f>SUMIFS(Physician_Visit_December,Physician_Visit_Practice,December!B112,Physician_Visit_Hospitalists, "&lt;&gt;"&amp;'Physician Types'!$D$81)+SUMIFS(Physician_Visit_December,Physician_Visit_Practice,December!B112,Physician_Visit_Hospitalists,'Physician Types'!$D$81)*INDEX(Physician_Type_Hospitalists_Visit_Minutes,MATCH(December!B112,Physician_Type_Practice,0))/INDEX(Physician_Type_Visit_Minutes,MATCH(December!B112,Physician_Type_Practice,0)) +SUMIF(Physician_Minutes_Practice,December!B112,Physician_Minutes_December)/INDEX(Physician_Type_Visit_Minutes,MATCH(December!B112,Physician_Type_Practice,0))</f>
        <v>#REF!</v>
      </c>
      <c r="D112" s="43" t="e">
        <f t="shared" si="15"/>
        <v>#REF!</v>
      </c>
      <c r="E112" s="17" t="e">
        <f>INDEX(Physician_Type_Bed_Rate,MATCH(December!B112,Physician_Type_Practice,0))*'Hospital Input Page'!$C$4</f>
        <v>#REF!</v>
      </c>
      <c r="F112" s="9" t="e">
        <f t="shared" ref="F112" si="17">D112*E112</f>
        <v>#REF!</v>
      </c>
      <c r="H112" s="5" t="e">
        <f t="array" ref="H112">SUMIFS(Physician_Visit_December, Physician_Visit_Practice, December!B112, Independent_Contractor_Visits,  'Physician Types'!$D$81) + SUMIFS(Physician_Minutes_December,Physician_Minutes_Practice,December!B112, Independent_Contractor_Minutes, 'Physician Types'!$D$81)/INDEX(Physician_Type_Visit_Minutes,MATCH(December!B112,Physician_Type_Practice,0))</f>
        <v>#REF!</v>
      </c>
      <c r="I112" s="43" t="e">
        <f t="shared" si="16"/>
        <v>#REF!</v>
      </c>
      <c r="J112" s="10" t="e">
        <f>E112*'Physician Types'!$E$4</f>
        <v>#REF!</v>
      </c>
      <c r="K112" s="10" t="e">
        <f t="shared" ref="K112" si="18">I112*J112</f>
        <v>#REF!</v>
      </c>
    </row>
    <row r="113" spans="1:11" x14ac:dyDescent="0.2">
      <c r="A113" s="102"/>
      <c r="B113" s="164" t="s">
        <v>156</v>
      </c>
      <c r="C113" s="5" t="e">
        <f>SUMIFS(Physician_Visit_December,Physician_Visit_Practice,December!B113,Physician_Visit_Hospitalists, "&lt;&gt;"&amp;'Physician Types'!$D$81)+SUMIFS(Physician_Visit_December,Physician_Visit_Practice,December!B113,Physician_Visit_Hospitalists,'Physician Types'!$D$81)*INDEX(Physician_Type_Hospitalists_Visit_Minutes,MATCH(December!B113,Physician_Type_Practice,0))/INDEX(Physician_Type_Visit_Minutes,MATCH(December!B113,Physician_Type_Practice,0)) +SUMIF(Physician_Minutes_Practice,December!B113,Physician_Minutes_December)/INDEX(Physician_Type_Visit_Minutes,MATCH(December!B113,Physician_Type_Practice,0))</f>
        <v>#REF!</v>
      </c>
      <c r="D113" s="43" t="e">
        <f t="shared" ref="D113:D116" si="19">C113*INDEX(Physician_Type_Visit_Minutes,MATCH(B113,Physician_Type_Practice,0))/INDEX(Physician_Type_FTE_Minutes,MATCH(B113,Physician_Type_Practice,0))</f>
        <v>#REF!</v>
      </c>
      <c r="E113" s="17" t="e">
        <f>INDEX(Physician_Type_Bed_Rate,MATCH(December!B113,Physician_Type_Practice,0))*'Hospital Input Page'!$C$4</f>
        <v>#REF!</v>
      </c>
      <c r="F113" s="9" t="e">
        <f t="shared" ref="F113:F116" si="20">D113*E113</f>
        <v>#REF!</v>
      </c>
      <c r="H113" s="5" t="e">
        <f t="array" ref="H113">SUMIFS(Physician_Visit_December, Physician_Visit_Practice, December!B113, Independent_Contractor_Visits,  'Physician Types'!$D$81) + SUMIFS(Physician_Minutes_December,Physician_Minutes_Practice,December!B113, Independent_Contractor_Minutes, 'Physician Types'!$D$81)/INDEX(Physician_Type_Visit_Minutes,MATCH(December!B113,Physician_Type_Practice,0))</f>
        <v>#REF!</v>
      </c>
      <c r="I113" s="43" t="e">
        <f t="shared" ref="I113:I116" si="21">H113*INDEX(Physician_Type_Visit_Minutes,MATCH(B113,Physician_Type_Practice,0))/INDEX(Physician_Type_FTE_Minutes,MATCH(B113,Physician_Type_Practice,0))</f>
        <v>#REF!</v>
      </c>
      <c r="J113" s="10" t="e">
        <f>E113*'Physician Types'!$E$4</f>
        <v>#REF!</v>
      </c>
      <c r="K113" s="10" t="e">
        <f t="shared" ref="K113:K116" si="22">I113*J113</f>
        <v>#REF!</v>
      </c>
    </row>
    <row r="114" spans="1:11" x14ac:dyDescent="0.2">
      <c r="A114" s="102"/>
      <c r="B114" s="164" t="s">
        <v>156</v>
      </c>
      <c r="C114" s="5" t="e">
        <f>SUMIFS(Physician_Visit_December,Physician_Visit_Practice,December!B114,Physician_Visit_Hospitalists, "&lt;&gt;"&amp;'Physician Types'!$D$81)+SUMIFS(Physician_Visit_December,Physician_Visit_Practice,December!B114,Physician_Visit_Hospitalists,'Physician Types'!$D$81)*INDEX(Physician_Type_Hospitalists_Visit_Minutes,MATCH(December!B114,Physician_Type_Practice,0))/INDEX(Physician_Type_Visit_Minutes,MATCH(December!B114,Physician_Type_Practice,0)) +SUMIF(Physician_Minutes_Practice,December!B114,Physician_Minutes_December)/INDEX(Physician_Type_Visit_Minutes,MATCH(December!B114,Physician_Type_Practice,0))</f>
        <v>#REF!</v>
      </c>
      <c r="D114" s="43" t="e">
        <f t="shared" si="19"/>
        <v>#REF!</v>
      </c>
      <c r="E114" s="17" t="e">
        <f>INDEX(Physician_Type_Bed_Rate,MATCH(December!B114,Physician_Type_Practice,0))*'Hospital Input Page'!$C$4</f>
        <v>#REF!</v>
      </c>
      <c r="F114" s="9" t="e">
        <f t="shared" si="20"/>
        <v>#REF!</v>
      </c>
      <c r="H114" s="5" t="e">
        <f t="array" ref="H114">SUMIFS(Physician_Visit_December, Physician_Visit_Practice, December!B114, Independent_Contractor_Visits,  'Physician Types'!$D$81) + SUMIFS(Physician_Minutes_December,Physician_Minutes_Practice,December!B114, Independent_Contractor_Minutes, 'Physician Types'!$D$81)/INDEX(Physician_Type_Visit_Minutes,MATCH(December!B114,Physician_Type_Practice,0))</f>
        <v>#REF!</v>
      </c>
      <c r="I114" s="43" t="e">
        <f t="shared" si="21"/>
        <v>#REF!</v>
      </c>
      <c r="J114" s="10" t="e">
        <f>E114*'Physician Types'!$E$4</f>
        <v>#REF!</v>
      </c>
      <c r="K114" s="10" t="e">
        <f t="shared" si="22"/>
        <v>#REF!</v>
      </c>
    </row>
    <row r="115" spans="1:11" x14ac:dyDescent="0.2">
      <c r="A115" s="102"/>
      <c r="B115" s="164" t="s">
        <v>156</v>
      </c>
      <c r="C115" s="5" t="e">
        <f>SUMIFS(Physician_Visit_December,Physician_Visit_Practice,December!B115,Physician_Visit_Hospitalists, "&lt;&gt;"&amp;'Physician Types'!$D$81)+SUMIFS(Physician_Visit_December,Physician_Visit_Practice,December!B115,Physician_Visit_Hospitalists,'Physician Types'!$D$81)*INDEX(Physician_Type_Hospitalists_Visit_Minutes,MATCH(December!B115,Physician_Type_Practice,0))/INDEX(Physician_Type_Visit_Minutes,MATCH(December!B115,Physician_Type_Practice,0)) +SUMIF(Physician_Minutes_Practice,December!B115,Physician_Minutes_December)/INDEX(Physician_Type_Visit_Minutes,MATCH(December!B115,Physician_Type_Practice,0))</f>
        <v>#REF!</v>
      </c>
      <c r="D115" s="43" t="e">
        <f t="shared" si="19"/>
        <v>#REF!</v>
      </c>
      <c r="E115" s="17" t="e">
        <f>INDEX(Physician_Type_Bed_Rate,MATCH(December!B115,Physician_Type_Practice,0))*'Hospital Input Page'!$C$4</f>
        <v>#REF!</v>
      </c>
      <c r="F115" s="9" t="e">
        <f t="shared" si="20"/>
        <v>#REF!</v>
      </c>
      <c r="H115" s="5" t="e">
        <f t="array" ref="H115">SUMIFS(Physician_Visit_December, Physician_Visit_Practice, December!B115, Independent_Contractor_Visits,  'Physician Types'!$D$81) + SUMIFS(Physician_Minutes_December,Physician_Minutes_Practice,December!B115, Independent_Contractor_Minutes, 'Physician Types'!$D$81)/INDEX(Physician_Type_Visit_Minutes,MATCH(December!B115,Physician_Type_Practice,0))</f>
        <v>#REF!</v>
      </c>
      <c r="I115" s="43" t="e">
        <f t="shared" si="21"/>
        <v>#REF!</v>
      </c>
      <c r="J115" s="10" t="e">
        <f>E115*'Physician Types'!$E$4</f>
        <v>#REF!</v>
      </c>
      <c r="K115" s="10" t="e">
        <f t="shared" si="22"/>
        <v>#REF!</v>
      </c>
    </row>
    <row r="116" spans="1:11" x14ac:dyDescent="0.2">
      <c r="A116" s="102"/>
      <c r="B116" s="164" t="s">
        <v>156</v>
      </c>
      <c r="C116" s="5" t="e">
        <f>SUMIFS(Physician_Visit_December,Physician_Visit_Practice,December!B116,Physician_Visit_Hospitalists, "&lt;&gt;"&amp;'Physician Types'!$D$81)+SUMIFS(Physician_Visit_December,Physician_Visit_Practice,December!B116,Physician_Visit_Hospitalists,'Physician Types'!$D$81)*INDEX(Physician_Type_Hospitalists_Visit_Minutes,MATCH(December!B116,Physician_Type_Practice,0))/INDEX(Physician_Type_Visit_Minutes,MATCH(December!B116,Physician_Type_Practice,0)) +SUMIF(Physician_Minutes_Practice,December!B116,Physician_Minutes_December)/INDEX(Physician_Type_Visit_Minutes,MATCH(December!B116,Physician_Type_Practice,0))</f>
        <v>#REF!</v>
      </c>
      <c r="D116" s="43" t="e">
        <f t="shared" si="19"/>
        <v>#REF!</v>
      </c>
      <c r="E116" s="17" t="e">
        <f>INDEX(Physician_Type_Bed_Rate,MATCH(December!B116,Physician_Type_Practice,0))*'Hospital Input Page'!$C$4</f>
        <v>#REF!</v>
      </c>
      <c r="F116" s="9" t="e">
        <f t="shared" si="20"/>
        <v>#REF!</v>
      </c>
      <c r="H116" s="5" t="e">
        <f t="array" ref="H116">SUMIFS(Physician_Visit_December, Physician_Visit_Practice, December!B116, Independent_Contractor_Visits,  'Physician Types'!$D$81) + SUMIFS(Physician_Minutes_December,Physician_Minutes_Practice,December!B116, Independent_Contractor_Minutes, 'Physician Types'!$D$81)/INDEX(Physician_Type_Visit_Minutes,MATCH(December!B116,Physician_Type_Practice,0))</f>
        <v>#REF!</v>
      </c>
      <c r="I116" s="43" t="e">
        <f t="shared" si="21"/>
        <v>#REF!</v>
      </c>
      <c r="J116" s="10" t="e">
        <f>E116*'Physician Types'!$E$4</f>
        <v>#REF!</v>
      </c>
      <c r="K116" s="10" t="e">
        <f t="shared" si="22"/>
        <v>#REF!</v>
      </c>
    </row>
    <row r="119" spans="1:11" x14ac:dyDescent="0.2">
      <c r="B119" s="46" t="s">
        <v>106</v>
      </c>
      <c r="C119" s="149"/>
      <c r="D119" s="150"/>
      <c r="E119" s="151"/>
      <c r="F119" s="48">
        <f>SUMIF(F46:F116,"&lt;&gt;#REF!",F46:F116)</f>
        <v>2735.2457631153784</v>
      </c>
      <c r="G119" s="46"/>
      <c r="H119" s="46"/>
      <c r="I119" s="46"/>
      <c r="J119" s="46"/>
      <c r="K119" s="48">
        <f>SUMIF(K46:K116,"&lt;&gt;#REF!",K46:K116)</f>
        <v>7.4736750130911203E-2</v>
      </c>
    </row>
  </sheetData>
  <sheetProtection algorithmName="SHA-512" hashValue="qf0M3G+YVeztoNCBASD2bLd5qfEA0XkhrgMCGtwoLAJFx3DK504VD+yJyGNmuktl66zi564qRFc1lURq9Y4n6g==" saltValue="xRwHYmiJM9vnxqdSEDVTqQ==" spinCount="100000" sheet="1" objects="1" scenarios="1"/>
  <customSheetViews>
    <customSheetView guid="{4B7E793F-FF7C-4BA4-8EC7-9B719AA3D607}" fitToPage="1">
      <selection activeCell="B7" sqref="B7:C7"/>
      <pageMargins left="0.5" right="0.5" top="0.5" bottom="0.5" header="0.5" footer="0.5"/>
      <printOptions gridLines="1"/>
      <pageSetup scale="97" orientation="portrait" r:id="rId1"/>
      <headerFooter alignWithMargins="0"/>
    </customSheetView>
  </customSheetViews>
  <phoneticPr fontId="8" type="noConversion"/>
  <printOptions headings="1"/>
  <pageMargins left="0.5" right="0.5" top="0.5" bottom="0.5" header="0.5" footer="0.5"/>
  <pageSetup scale="94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K119"/>
  <sheetViews>
    <sheetView zoomScaleNormal="100" workbookViewId="0">
      <selection activeCell="H31" sqref="H31"/>
    </sheetView>
  </sheetViews>
  <sheetFormatPr defaultRowHeight="12.75" x14ac:dyDescent="0.2"/>
  <cols>
    <col min="1" max="1" width="3.7109375" customWidth="1"/>
    <col min="2" max="2" width="52.42578125" customWidth="1"/>
    <col min="3" max="3" width="11.7109375" customWidth="1"/>
    <col min="4" max="4" width="10.42578125" style="8" customWidth="1"/>
    <col min="5" max="5" width="9.140625" style="6" bestFit="1" customWidth="1"/>
    <col min="6" max="6" width="12.85546875" customWidth="1"/>
    <col min="8" max="8" width="12.5703125" customWidth="1"/>
    <col min="11" max="11" width="11.140625" customWidth="1"/>
  </cols>
  <sheetData>
    <row r="1" spans="1:8" ht="15.75" x14ac:dyDescent="0.25">
      <c r="A1" s="18" t="str">
        <f>'Hospital Input Page'!A1</f>
        <v>Grover Dils</v>
      </c>
      <c r="B1" s="19"/>
      <c r="C1" s="18" t="s">
        <v>100</v>
      </c>
      <c r="D1" s="196">
        <f>'Hospital Input Page'!L6</f>
        <v>2020</v>
      </c>
      <c r="E1" s="19"/>
    </row>
    <row r="2" spans="1:8" ht="15.75" x14ac:dyDescent="0.25">
      <c r="A2" s="18" t="str">
        <f>'Hospital Input Page'!A2</f>
        <v>LiCON MONTHLY REPORT FORM (MRF)</v>
      </c>
      <c r="B2" s="19"/>
      <c r="C2" s="19"/>
      <c r="D2" s="20"/>
      <c r="E2" s="19"/>
    </row>
    <row r="3" spans="1:8" ht="15.75" customHeight="1" x14ac:dyDescent="0.25">
      <c r="A3" s="18"/>
      <c r="B3" s="21"/>
      <c r="D3" s="20"/>
      <c r="E3" s="22"/>
      <c r="F3" s="38"/>
    </row>
    <row r="5" spans="1:8" ht="15.75" x14ac:dyDescent="0.25">
      <c r="B5" s="21" t="s">
        <v>24</v>
      </c>
      <c r="C5" s="168">
        <f>F39</f>
        <v>4616.1027558885007</v>
      </c>
      <c r="E5"/>
    </row>
    <row r="6" spans="1:8" x14ac:dyDescent="0.2">
      <c r="C6" s="2"/>
    </row>
    <row r="7" spans="1:8" x14ac:dyDescent="0.2">
      <c r="B7" s="58" t="str">
        <f>'Hospital Input Page'!$B$5</f>
        <v>Deductible</v>
      </c>
      <c r="C7" s="58">
        <f>'Hospital Input Page'!$C$5</f>
        <v>10000</v>
      </c>
    </row>
    <row r="8" spans="1:8" x14ac:dyDescent="0.2">
      <c r="B8" s="1"/>
      <c r="C8" s="3"/>
    </row>
    <row r="9" spans="1:8" ht="13.5" thickBot="1" x14ac:dyDescent="0.25">
      <c r="A9" s="4"/>
      <c r="B9" s="23" t="s">
        <v>0</v>
      </c>
      <c r="C9" s="23" t="s">
        <v>1</v>
      </c>
      <c r="D9" s="24" t="s">
        <v>27</v>
      </c>
      <c r="E9" s="25"/>
      <c r="F9" s="49" t="s">
        <v>111</v>
      </c>
    </row>
    <row r="10" spans="1:8" ht="12.95" customHeight="1" x14ac:dyDescent="0.2">
      <c r="A10" s="29">
        <v>1</v>
      </c>
      <c r="B10" s="113" t="s">
        <v>2</v>
      </c>
      <c r="C10" s="5">
        <f>INDEX(Hospital_Exposure_January, MATCH(January!B10,Hospital_Exposure_Name,0))</f>
        <v>0.28999999999999998</v>
      </c>
      <c r="D10" s="17">
        <f>INDEX(Hospital_Exposure_Rate,MATCH(January!B10,Hospital_Exposure_Name,0))</f>
        <v>527.69012023747894</v>
      </c>
      <c r="E10" s="28" t="s">
        <v>21</v>
      </c>
      <c r="F10" s="50">
        <f t="shared" ref="F10:F15" si="0">C10*D10</f>
        <v>153.03013486886888</v>
      </c>
    </row>
    <row r="11" spans="1:8" ht="12.95" customHeight="1" x14ac:dyDescent="0.2">
      <c r="A11" s="29">
        <f>A10+1</f>
        <v>2</v>
      </c>
      <c r="B11" s="118" t="s">
        <v>3</v>
      </c>
      <c r="C11" s="5">
        <f>INDEX(Hospital_Exposure_January, MATCH(January!B11,Hospital_Exposure_Name,0))</f>
        <v>0</v>
      </c>
      <c r="D11" s="17">
        <f>INDEX(Hospital_Exposure_Rate,MATCH(January!B11,Hospital_Exposure_Name,0))</f>
        <v>527.69012023747894</v>
      </c>
      <c r="E11" s="28" t="s">
        <v>21</v>
      </c>
      <c r="F11" s="50">
        <f t="shared" si="0"/>
        <v>0</v>
      </c>
    </row>
    <row r="12" spans="1:8" ht="12.95" customHeight="1" x14ac:dyDescent="0.2">
      <c r="A12" s="29">
        <f t="shared" ref="A12:A35" si="1">A11+1</f>
        <v>3</v>
      </c>
      <c r="B12" s="118" t="s">
        <v>4</v>
      </c>
      <c r="C12" s="5">
        <f>INDEX(Hospital_Exposure_January, MATCH(January!B12,Hospital_Exposure_Name,0))</f>
        <v>17.75</v>
      </c>
      <c r="D12" s="17">
        <f>INDEX(Hospital_Exposure_Rate,MATCH(January!B12,Hospital_Exposure_Name,0))</f>
        <v>63.322814428497473</v>
      </c>
      <c r="E12" s="28" t="s">
        <v>21</v>
      </c>
      <c r="F12" s="50">
        <f t="shared" si="0"/>
        <v>1123.9799561058301</v>
      </c>
    </row>
    <row r="13" spans="1:8" ht="12.95" customHeight="1" x14ac:dyDescent="0.2">
      <c r="A13" s="29">
        <f t="shared" si="1"/>
        <v>4</v>
      </c>
      <c r="B13" s="118" t="s">
        <v>5</v>
      </c>
      <c r="C13" s="5">
        <f>INDEX(Hospital_Exposure_January, MATCH(January!B13,Hospital_Exposure_Name,0))</f>
        <v>0</v>
      </c>
      <c r="D13" s="17">
        <f>INDEX(Hospital_Exposure_Rate,MATCH(January!B13,Hospital_Exposure_Name,0))</f>
        <v>369.38308416623522</v>
      </c>
      <c r="E13" s="28" t="s">
        <v>21</v>
      </c>
      <c r="F13" s="50">
        <f t="shared" si="0"/>
        <v>0</v>
      </c>
    </row>
    <row r="14" spans="1:8" ht="12.95" customHeight="1" x14ac:dyDescent="0.2">
      <c r="A14" s="29">
        <f t="shared" si="1"/>
        <v>5</v>
      </c>
      <c r="B14" s="118" t="s">
        <v>6</v>
      </c>
      <c r="C14" s="5">
        <f>INDEX(Hospital_Exposure_January, MATCH(January!B14,Hospital_Exposure_Name,0))</f>
        <v>0</v>
      </c>
      <c r="D14" s="17">
        <f>INDEX(Hospital_Exposure_Rate,MATCH(January!B14,Hospital_Exposure_Name,0))</f>
        <v>237.988244227103</v>
      </c>
      <c r="E14" s="28" t="s">
        <v>21</v>
      </c>
      <c r="F14" s="50">
        <f t="shared" si="0"/>
        <v>0</v>
      </c>
    </row>
    <row r="15" spans="1:8" ht="12.95" customHeight="1" x14ac:dyDescent="0.2">
      <c r="A15" s="29">
        <f t="shared" si="1"/>
        <v>6</v>
      </c>
      <c r="B15" s="118" t="s">
        <v>7</v>
      </c>
      <c r="C15" s="5">
        <f>INDEX(Hospital_Exposure_January, MATCH(January!B15,Hospital_Exposure_Name,0))</f>
        <v>0</v>
      </c>
      <c r="D15" s="17">
        <f>INDEX(Hospital_Exposure_Rate,MATCH(January!B15,Hospital_Exposure_Name,0))</f>
        <v>184.69154208311761</v>
      </c>
      <c r="E15" s="28" t="s">
        <v>21</v>
      </c>
      <c r="F15" s="50">
        <f t="shared" si="0"/>
        <v>0</v>
      </c>
    </row>
    <row r="16" spans="1:8" ht="12.95" customHeight="1" x14ac:dyDescent="0.2">
      <c r="A16" s="29">
        <f t="shared" si="1"/>
        <v>7</v>
      </c>
      <c r="B16" s="122" t="s">
        <v>114</v>
      </c>
      <c r="C16" s="5">
        <f>INDEX(Hospital_Exposure_January, MATCH(January!B16,Hospital_Exposure_Name,0))</f>
        <v>75</v>
      </c>
      <c r="D16" s="17">
        <f>INDEX(Hospital_Exposure_Rate,MATCH(January!B16,Hospital_Exposure_Name,0))</f>
        <v>89.707320440371419</v>
      </c>
      <c r="E16" s="28" t="s">
        <v>22</v>
      </c>
      <c r="F16" s="50">
        <f>C16*D16/100</f>
        <v>67.280490330278568</v>
      </c>
      <c r="H16" s="31"/>
    </row>
    <row r="17" spans="1:8" ht="12.95" customHeight="1" x14ac:dyDescent="0.2">
      <c r="A17" s="29">
        <f t="shared" si="1"/>
        <v>8</v>
      </c>
      <c r="B17" s="122" t="s">
        <v>115</v>
      </c>
      <c r="C17" s="5">
        <f>INDEX(Hospital_Exposure_January, MATCH(January!B17,Hospital_Exposure_Name,0))</f>
        <v>1473</v>
      </c>
      <c r="D17" s="17">
        <f>INDEX(Hospital_Exposure_Rate,MATCH(January!B17,Hospital_Exposure_Name,0))</f>
        <v>21.107604809499158</v>
      </c>
      <c r="E17" s="28" t="s">
        <v>22</v>
      </c>
      <c r="F17" s="50">
        <f>C17*D17/100</f>
        <v>310.91501884392261</v>
      </c>
      <c r="H17" s="31"/>
    </row>
    <row r="18" spans="1:8" ht="12.95" customHeight="1" x14ac:dyDescent="0.2">
      <c r="A18" s="29">
        <f t="shared" si="1"/>
        <v>9</v>
      </c>
      <c r="B18" s="122" t="s">
        <v>116</v>
      </c>
      <c r="C18" s="5">
        <f>INDEX(Hospital_Exposure_January, MATCH(January!B18,Hospital_Exposure_Name,0))</f>
        <v>0</v>
      </c>
      <c r="D18" s="17">
        <f>INDEX(Hospital_Exposure_Rate,MATCH(January!B18,Hospital_Exposure_Name,0))</f>
        <v>1.1609182645224538</v>
      </c>
      <c r="E18" s="28" t="s">
        <v>22</v>
      </c>
      <c r="F18" s="50">
        <f>C18*D18/100</f>
        <v>0</v>
      </c>
    </row>
    <row r="19" spans="1:8" ht="12.95" customHeight="1" x14ac:dyDescent="0.2">
      <c r="A19" s="29">
        <f t="shared" si="1"/>
        <v>10</v>
      </c>
      <c r="B19" s="118" t="s">
        <v>8</v>
      </c>
      <c r="C19" s="5">
        <f>INDEX(Hospital_Exposure_January, MATCH(January!B19,Hospital_Exposure_Name,0))</f>
        <v>0</v>
      </c>
      <c r="D19" s="17">
        <f>INDEX(Hospital_Exposure_Rate,MATCH(January!B19,Hospital_Exposure_Name,0))</f>
        <v>26.384506011873949</v>
      </c>
      <c r="E19" s="28" t="s">
        <v>23</v>
      </c>
      <c r="F19" s="50">
        <f>C19*D19</f>
        <v>0</v>
      </c>
    </row>
    <row r="20" spans="1:8" ht="12.95" customHeight="1" x14ac:dyDescent="0.2">
      <c r="A20" s="29">
        <f t="shared" si="1"/>
        <v>11</v>
      </c>
      <c r="B20" s="118" t="s">
        <v>9</v>
      </c>
      <c r="C20" s="5">
        <f>INDEX(Hospital_Exposure_January, MATCH(January!B20,Hospital_Exposure_Name,0))</f>
        <v>0</v>
      </c>
      <c r="D20" s="17">
        <f>INDEX(Hospital_Exposure_Rate,MATCH(January!B20,Hospital_Exposure_Name,0))</f>
        <v>10.553802404749579</v>
      </c>
      <c r="E20" s="28" t="s">
        <v>23</v>
      </c>
      <c r="F20" s="50">
        <f>C20*D20</f>
        <v>0</v>
      </c>
    </row>
    <row r="21" spans="1:8" ht="12.95" customHeight="1" x14ac:dyDescent="0.2">
      <c r="A21" s="29">
        <f t="shared" si="1"/>
        <v>12</v>
      </c>
      <c r="B21" s="118" t="s">
        <v>10</v>
      </c>
      <c r="C21" s="5">
        <f>INDEX(Hospital_Exposure_January, MATCH(January!B21,Hospital_Exposure_Name,0))</f>
        <v>0</v>
      </c>
      <c r="D21" s="17">
        <f>INDEX(Hospital_Exposure_Rate,MATCH(January!B21,Hospital_Exposure_Name,0))</f>
        <v>79.153518035621843</v>
      </c>
      <c r="E21" s="28" t="s">
        <v>23</v>
      </c>
      <c r="F21" s="50">
        <f t="shared" ref="F21:F23" si="2">C21*D21</f>
        <v>0</v>
      </c>
    </row>
    <row r="22" spans="1:8" ht="12.95" customHeight="1" x14ac:dyDescent="0.2">
      <c r="A22" s="29">
        <f t="shared" si="1"/>
        <v>13</v>
      </c>
      <c r="B22" s="118" t="s">
        <v>11</v>
      </c>
      <c r="C22" s="5">
        <f>INDEX(Hospital_Exposure_January, MATCH(January!B22,Hospital_Exposure_Name,0))</f>
        <v>0</v>
      </c>
      <c r="D22" s="17">
        <f>INDEX(Hospital_Exposure_Rate,MATCH(January!B22,Hospital_Exposure_Name,0))</f>
        <v>79.153518035621843</v>
      </c>
      <c r="E22" s="28" t="s">
        <v>23</v>
      </c>
      <c r="F22" s="50">
        <f t="shared" si="2"/>
        <v>0</v>
      </c>
    </row>
    <row r="23" spans="1:8" ht="12.95" customHeight="1" x14ac:dyDescent="0.2">
      <c r="A23" s="29">
        <f t="shared" si="1"/>
        <v>14</v>
      </c>
      <c r="B23" s="122" t="s">
        <v>117</v>
      </c>
      <c r="C23" s="5">
        <f>INDEX(Hospital_Exposure_January, MATCH(January!B23,Hospital_Exposure_Name,0))</f>
        <v>0</v>
      </c>
      <c r="D23" s="17">
        <f>INDEX(Hospital_Exposure_Rate,MATCH(January!B23,Hospital_Exposure_Name,0))</f>
        <v>341.38512486587695</v>
      </c>
      <c r="E23" s="28" t="s">
        <v>23</v>
      </c>
      <c r="F23" s="50">
        <f t="shared" si="2"/>
        <v>0</v>
      </c>
    </row>
    <row r="24" spans="1:8" ht="12.95" customHeight="1" x14ac:dyDescent="0.2">
      <c r="A24" s="29">
        <f t="shared" si="1"/>
        <v>15</v>
      </c>
      <c r="B24" s="74" t="s">
        <v>136</v>
      </c>
      <c r="C24" s="5">
        <f>INDEX($C$47:$C$113,MATCH(B24,$B$47:$B$113,0))</f>
        <v>75</v>
      </c>
      <c r="D24" s="5">
        <f>INDEX($E$47:$E$113,MATCH(B24,$B$47:$B$113,0))</f>
        <v>1727.2161200254454</v>
      </c>
      <c r="E24" s="28" t="s">
        <v>22</v>
      </c>
      <c r="F24" s="50">
        <f>SUMIF(B46:B112,B24,F46:F112)+SUMIF(B46:B112,B54,K46:K112)</f>
        <v>1295.561563519346</v>
      </c>
    </row>
    <row r="25" spans="1:8" ht="12.95" customHeight="1" x14ac:dyDescent="0.2">
      <c r="A25" s="29">
        <f t="shared" si="1"/>
        <v>16</v>
      </c>
      <c r="B25" s="4" t="s">
        <v>12</v>
      </c>
      <c r="C25" s="5">
        <f>SUMIF($A$47:$A$113, 1,$D$47:$D$113)</f>
        <v>0</v>
      </c>
      <c r="D25" s="5">
        <f>IFERROR(F25/C25,0)</f>
        <v>0</v>
      </c>
      <c r="E25" s="28" t="s">
        <v>23</v>
      </c>
      <c r="F25" s="51">
        <f>SUMIF($A$46:$A$112, 1,$F$46:$F$112) + SUMIF($A$46:$A$112, 1,$K$46:$K$112)</f>
        <v>0</v>
      </c>
    </row>
    <row r="26" spans="1:8" ht="12.95" customHeight="1" x14ac:dyDescent="0.2">
      <c r="A26" s="29">
        <f t="shared" si="1"/>
        <v>17</v>
      </c>
      <c r="B26" s="4" t="s">
        <v>13</v>
      </c>
      <c r="C26" s="5">
        <f>SUMIF($A$47:$A$113, 2,$D$47:$D$113)</f>
        <v>0</v>
      </c>
      <c r="D26" s="5">
        <f t="shared" ref="D26:D35" si="3">IFERROR(F26/C26,0)</f>
        <v>0</v>
      </c>
      <c r="E26" s="28" t="s">
        <v>23</v>
      </c>
      <c r="F26" s="51">
        <f>SUMIF($A$46:$A$112, 2,$F$46:$F$112) + SUMIF($A$46:$A$112, 2,$K$46:$K$112)</f>
        <v>0</v>
      </c>
    </row>
    <row r="27" spans="1:8" ht="12.95" customHeight="1" x14ac:dyDescent="0.2">
      <c r="A27" s="29">
        <f t="shared" si="1"/>
        <v>18</v>
      </c>
      <c r="B27" s="4" t="s">
        <v>14</v>
      </c>
      <c r="C27" s="5">
        <f>SUMIF($A$47:$A$113, 3,$D$47:$D$113)</f>
        <v>0.57693417181099627</v>
      </c>
      <c r="D27" s="5">
        <f t="shared" si="3"/>
        <v>1951.6566327971129</v>
      </c>
      <c r="E27" s="28" t="s">
        <v>23</v>
      </c>
      <c r="F27" s="51">
        <f>SUMIF($A$46:$A$112, 3,$F$46:$F$112) + SUMIF($A$46:$A$112, 3,$K$46:$K$112)</f>
        <v>1125.97740310224</v>
      </c>
    </row>
    <row r="28" spans="1:8" ht="12.95" customHeight="1" x14ac:dyDescent="0.2">
      <c r="A28" s="29">
        <f t="shared" si="1"/>
        <v>19</v>
      </c>
      <c r="B28" s="4" t="s">
        <v>15</v>
      </c>
      <c r="C28" s="5">
        <f>SUMIF($A$47:$A$113, 4,$D$47:$D$113)</f>
        <v>0</v>
      </c>
      <c r="D28" s="5">
        <f t="shared" si="3"/>
        <v>0</v>
      </c>
      <c r="E28" s="28" t="s">
        <v>23</v>
      </c>
      <c r="F28" s="51">
        <f>SUMIF($A$46:$A$112, 4,$F$46:$F$112) + SUMIF($A$46:$A$112, 4,$K$46:$K$112)</f>
        <v>0</v>
      </c>
    </row>
    <row r="29" spans="1:8" ht="12.95" customHeight="1" x14ac:dyDescent="0.2">
      <c r="A29" s="29">
        <f t="shared" si="1"/>
        <v>20</v>
      </c>
      <c r="B29" s="4" t="s">
        <v>16</v>
      </c>
      <c r="C29" s="5">
        <f>SUMIF($A$47:$A$113, 5,$D$47:$D$113)</f>
        <v>0</v>
      </c>
      <c r="D29" s="5">
        <f t="shared" si="3"/>
        <v>0</v>
      </c>
      <c r="E29" s="28" t="s">
        <v>23</v>
      </c>
      <c r="F29" s="51">
        <f>SUMIF($A$46:$A$112, 5,$F$46:$F$112) + SUMIF($A$46:$A$112, 5,$K$46:$K$112)</f>
        <v>0</v>
      </c>
    </row>
    <row r="30" spans="1:8" ht="12.95" customHeight="1" x14ac:dyDescent="0.2">
      <c r="A30" s="29">
        <f t="shared" si="1"/>
        <v>21</v>
      </c>
      <c r="B30" s="4" t="s">
        <v>17</v>
      </c>
      <c r="C30" s="5">
        <f>SUMIF($A$47:$A$113, 6,$D$47:$D$113)</f>
        <v>0</v>
      </c>
      <c r="D30" s="5">
        <f t="shared" si="3"/>
        <v>0</v>
      </c>
      <c r="E30" s="28" t="s">
        <v>23</v>
      </c>
      <c r="F30" s="51">
        <f>SUMIF($A$46:$A$112, 6,$F$46:$F$112) + SUMIF($A$46:$A$112, 6,$K$46:$K$112)</f>
        <v>0</v>
      </c>
    </row>
    <row r="31" spans="1:8" ht="12.95" customHeight="1" x14ac:dyDescent="0.2">
      <c r="A31" s="29">
        <f t="shared" si="1"/>
        <v>22</v>
      </c>
      <c r="B31" s="4" t="s">
        <v>18</v>
      </c>
      <c r="C31" s="5">
        <f>SUMIF($A$47:$A$113, 7,$D$47:$D$113)</f>
        <v>0</v>
      </c>
      <c r="D31" s="5">
        <f t="shared" si="3"/>
        <v>0</v>
      </c>
      <c r="E31" s="28" t="s">
        <v>23</v>
      </c>
      <c r="F31" s="51">
        <f>SUMIF($A$46:$A$112, 7,$F$46:$F$112) + SUMIF($A$46:$A$112, 7,$K$46:$K$112)</f>
        <v>0</v>
      </c>
    </row>
    <row r="32" spans="1:8" ht="12.95" customHeight="1" x14ac:dyDescent="0.2">
      <c r="A32" s="29">
        <f t="shared" si="1"/>
        <v>23</v>
      </c>
      <c r="B32" s="4" t="s">
        <v>19</v>
      </c>
      <c r="C32" s="5">
        <f>SUMIF($A$47:$A$113, 8,$D$47:$D$113)</f>
        <v>0</v>
      </c>
      <c r="D32" s="5">
        <f t="shared" si="3"/>
        <v>0</v>
      </c>
      <c r="E32" s="28" t="s">
        <v>23</v>
      </c>
      <c r="F32" s="51">
        <f>SUMIF($A$46:$A$112, 8,$F$46:$F$112) + SUMIF($A$46:$A$112, 8,$K$46:$K$112)</f>
        <v>0</v>
      </c>
    </row>
    <row r="33" spans="1:11" ht="12.95" customHeight="1" x14ac:dyDescent="0.2">
      <c r="A33" s="29">
        <f t="shared" si="1"/>
        <v>24</v>
      </c>
      <c r="B33" t="s">
        <v>79</v>
      </c>
      <c r="C33" s="5">
        <f>SUMIF($B$47:$B$113, B33,$D$47:$D$113)</f>
        <v>0</v>
      </c>
      <c r="D33" s="5">
        <f t="shared" si="3"/>
        <v>0</v>
      </c>
      <c r="E33" s="28" t="s">
        <v>23</v>
      </c>
      <c r="F33" s="51">
        <f>SUMIF($B$46:$B$112, B33,$F$46:$F$112) + SUMIF($B$46:$B$112, B33,$K$46:$K$112)</f>
        <v>0</v>
      </c>
    </row>
    <row r="34" spans="1:11" ht="12.95" customHeight="1" x14ac:dyDescent="0.2">
      <c r="A34" s="29">
        <f t="shared" si="1"/>
        <v>25</v>
      </c>
      <c r="B34" t="s">
        <v>20</v>
      </c>
      <c r="C34" s="5">
        <f>SUMIF($B$47:$B$113, B34,$D$47:$D$113)</f>
        <v>1.0923286986288196</v>
      </c>
      <c r="D34" s="5">
        <f t="shared" si="3"/>
        <v>493.76912809766958</v>
      </c>
      <c r="E34" s="28" t="s">
        <v>23</v>
      </c>
      <c r="F34" s="51">
        <f t="shared" ref="F34:F35" si="4">SUMIF($B$46:$B$112, B34,$F$46:$F$112) + SUMIF($B$46:$B$112, B34,$K$46:$K$112)</f>
        <v>539.35818911801437</v>
      </c>
    </row>
    <row r="35" spans="1:11" ht="12.95" customHeight="1" x14ac:dyDescent="0.2">
      <c r="A35" s="29">
        <f t="shared" si="1"/>
        <v>26</v>
      </c>
      <c r="B35" t="s">
        <v>80</v>
      </c>
      <c r="C35" s="5">
        <f>SUMIF($B$47:$B$113, B35,$D$47:$D$113)</f>
        <v>0</v>
      </c>
      <c r="D35" s="5">
        <f t="shared" si="3"/>
        <v>0</v>
      </c>
      <c r="E35" s="28" t="s">
        <v>23</v>
      </c>
      <c r="F35" s="51">
        <f t="shared" si="4"/>
        <v>0</v>
      </c>
    </row>
    <row r="36" spans="1:11" x14ac:dyDescent="0.2">
      <c r="F36" s="50"/>
    </row>
    <row r="37" spans="1:11" x14ac:dyDescent="0.2">
      <c r="F37" s="50"/>
    </row>
    <row r="38" spans="1:11" x14ac:dyDescent="0.2">
      <c r="B38" s="4"/>
      <c r="C38" s="5"/>
      <c r="D38" s="17"/>
      <c r="E38" s="7"/>
      <c r="F38" s="52"/>
    </row>
    <row r="39" spans="1:11" x14ac:dyDescent="0.2">
      <c r="A39" s="31"/>
      <c r="B39" s="53" t="s">
        <v>84</v>
      </c>
      <c r="C39" s="46"/>
      <c r="D39" s="54"/>
      <c r="E39" s="55"/>
      <c r="F39" s="169">
        <f>SUM(F10:F35)</f>
        <v>4616.1027558885007</v>
      </c>
    </row>
    <row r="40" spans="1:11" x14ac:dyDescent="0.2">
      <c r="A40" s="31"/>
      <c r="B40" s="34"/>
      <c r="C40" s="31"/>
      <c r="D40" s="35"/>
      <c r="E40" s="36"/>
      <c r="F40" s="16"/>
    </row>
    <row r="41" spans="1:11" x14ac:dyDescent="0.2">
      <c r="F41" s="10"/>
    </row>
    <row r="42" spans="1:11" x14ac:dyDescent="0.2">
      <c r="F42" s="10"/>
      <c r="H42" s="45" t="s">
        <v>148</v>
      </c>
      <c r="I42" s="45"/>
      <c r="J42" s="45"/>
      <c r="K42" s="45"/>
    </row>
    <row r="43" spans="1:11" ht="25.5" x14ac:dyDescent="0.2">
      <c r="A43" s="23" t="s">
        <v>85</v>
      </c>
      <c r="B43" s="41" t="s">
        <v>86</v>
      </c>
      <c r="C43" s="46" t="s">
        <v>81</v>
      </c>
      <c r="D43" s="47" t="s">
        <v>82</v>
      </c>
      <c r="E43" s="24" t="s">
        <v>27</v>
      </c>
      <c r="F43" s="23" t="s">
        <v>26</v>
      </c>
      <c r="H43" s="44" t="s">
        <v>143</v>
      </c>
      <c r="I43" s="47" t="s">
        <v>82</v>
      </c>
      <c r="J43" s="24" t="s">
        <v>27</v>
      </c>
      <c r="K43" s="23" t="s">
        <v>149</v>
      </c>
    </row>
    <row r="44" spans="1:11" x14ac:dyDescent="0.2">
      <c r="E44" s="8"/>
    </row>
    <row r="45" spans="1:11" x14ac:dyDescent="0.2">
      <c r="E45" s="8"/>
    </row>
    <row r="46" spans="1:11" x14ac:dyDescent="0.2">
      <c r="A46" s="158">
        <v>1</v>
      </c>
      <c r="B46" s="107" t="s">
        <v>28</v>
      </c>
      <c r="C46" s="5">
        <f>SUMIFS(Physician_Visit_January,Physician_Visit_Practice,January!B46,Physician_Visit_Hospitalists, "&lt;&gt;"&amp;'Physician Types'!$D$81)+SUMIFS(Physician_Visit_January,Physician_Visit_Practice,January!B46,Physician_Visit_Hospitalists,'Physician Types'!$D$81)*INDEX(Physician_Type_Hospitalists_Visit_Minutes,MATCH(January!B46,Physician_Type_Practice,0))/INDEX(Physician_Type_Visit_Minutes,MATCH(January!B46,Physician_Type_Practice,0)) +SUMIF(Physician_Minutes_Practice,January!B46,Physician_Minutes_January)/INDEX(Physician_Type_Visit_Minutes,MATCH(January!B46,Physician_Type_Practice,0))</f>
        <v>0</v>
      </c>
      <c r="D46" s="43">
        <f t="shared" ref="D46:D77" si="5">C46*INDEX(Physician_Type_Visit_Minutes,MATCH(B46,Physician_Type_Practice,0))/INDEX(Physician_Type_FTE_Minutes,MATCH(B46,Physician_Type_Practice,0))</f>
        <v>0</v>
      </c>
      <c r="E46" s="17">
        <f>INDEX(Physician_Type_Bed_Rate,MATCH(January!B46,Physician_Type_Practice,0))*'Hospital Input Page'!$C$4</f>
        <v>925.08524394583173</v>
      </c>
      <c r="F46" s="9">
        <f>D46*E46</f>
        <v>0</v>
      </c>
      <c r="H46" s="5">
        <f t="array" ref="H46">SUMIFS(Physician_Visit_January, Physician_Visit_Practice, January!B46, Independent_Contractor_Visits,  'Physician Types'!$D$81) + SUMIFS(Physician_Minutes_January,Physician_Minutes_Practice,January!B46, Independent_Contractor_Minutes, 'Physician Types'!$D$81)/INDEX(Physician_Type_Visit_Minutes,MATCH(January!B46,Physician_Type_Practice,0))</f>
        <v>0</v>
      </c>
      <c r="I46" s="43">
        <f t="shared" ref="I46:I77" si="6">H46*INDEX(Physician_Type_Visit_Minutes,MATCH(B46,Physician_Type_Practice,0))/INDEX(Physician_Type_FTE_Minutes,MATCH(B46,Physician_Type_Practice,0))</f>
        <v>0</v>
      </c>
      <c r="J46" s="10">
        <f>E46*'Physician Types'!$E$4</f>
        <v>27.752557318374951</v>
      </c>
      <c r="K46" s="10">
        <f>I46*J46</f>
        <v>0</v>
      </c>
    </row>
    <row r="47" spans="1:11" x14ac:dyDescent="0.2">
      <c r="A47" s="158">
        <v>1</v>
      </c>
      <c r="B47" s="107" t="s">
        <v>29</v>
      </c>
      <c r="C47" s="5">
        <f>SUMIFS(Physician_Visit_January,Physician_Visit_Practice,January!B47,Physician_Visit_Hospitalists, "&lt;&gt;"&amp;'Physician Types'!$D$81)+SUMIFS(Physician_Visit_January,Physician_Visit_Practice,January!B47,Physician_Visit_Hospitalists,'Physician Types'!$D$81)*INDEX(Physician_Type_Hospitalists_Visit_Minutes,MATCH(January!B47,Physician_Type_Practice,0))/INDEX(Physician_Type_Visit_Minutes,MATCH(January!B47,Physician_Type_Practice,0)) +SUMIF(Physician_Minutes_Practice,January!B47,Physician_Minutes_January)/INDEX(Physician_Type_Visit_Minutes,MATCH(January!B47,Physician_Type_Practice,0))</f>
        <v>0</v>
      </c>
      <c r="D47" s="43">
        <f t="shared" si="5"/>
        <v>0</v>
      </c>
      <c r="E47" s="17">
        <f>INDEX(Physician_Type_Bed_Rate,MATCH(January!B47,Physician_Type_Practice,0))*'Hospital Input Page'!$C$4</f>
        <v>993.39322609373073</v>
      </c>
      <c r="F47" s="9">
        <f t="shared" ref="F47:F111" si="7">D47*E47</f>
        <v>0</v>
      </c>
      <c r="H47" s="5">
        <f t="array" ref="H47">SUMIFS(Physician_Visit_January, Physician_Visit_Practice, January!B47, Independent_Contractor_Visits,  'Physician Types'!$D$81) + SUMIFS(Physician_Minutes_January,Physician_Minutes_Practice,January!B47, Independent_Contractor_Minutes, 'Physician Types'!$D$81)/INDEX(Physician_Type_Visit_Minutes,MATCH(January!B47,Physician_Type_Practice,0))</f>
        <v>0</v>
      </c>
      <c r="I47" s="43">
        <f t="shared" si="6"/>
        <v>0</v>
      </c>
      <c r="J47" s="10">
        <f>E47*'Physician Types'!$E$4</f>
        <v>29.80179678281192</v>
      </c>
      <c r="K47" s="10">
        <f t="shared" ref="K47:K111" si="8">I47*J47</f>
        <v>0</v>
      </c>
    </row>
    <row r="48" spans="1:11" x14ac:dyDescent="0.2">
      <c r="A48" s="158">
        <v>4</v>
      </c>
      <c r="B48" s="102" t="s">
        <v>60</v>
      </c>
      <c r="C48" s="5">
        <f>SUMIFS(Physician_Visit_January,Physician_Visit_Practice,January!B48,Physician_Visit_Hospitalists, "&lt;&gt;"&amp;'Physician Types'!$D$81)+SUMIFS(Physician_Visit_January,Physician_Visit_Practice,January!B48,Physician_Visit_Hospitalists,'Physician Types'!$D$81)*INDEX(Physician_Type_Hospitalists_Visit_Minutes,MATCH(January!B48,Physician_Type_Practice,0))/INDEX(Physician_Type_Visit_Minutes,MATCH(January!B48,Physician_Type_Practice,0)) +SUMIF(Physician_Minutes_Practice,January!B48,Physician_Minutes_January)/INDEX(Physician_Type_Visit_Minutes,MATCH(January!B48,Physician_Type_Practice,0))</f>
        <v>0</v>
      </c>
      <c r="D48" s="43">
        <f t="shared" si="5"/>
        <v>0</v>
      </c>
      <c r="E48" s="17">
        <f>INDEX(Physician_Type_Bed_Rate,MATCH(January!B48,Physician_Type_Practice,0))*'Hospital Input Page'!$C$4</f>
        <v>2699.1411231584075</v>
      </c>
      <c r="F48" s="9">
        <f t="shared" si="7"/>
        <v>0</v>
      </c>
      <c r="H48" s="5">
        <f>SUMIFS(Physician_Visit_January,Physician_Visit_Practice,January!B48,Independent_Contractor_Visits, "&lt;&gt;"&amp;'Physician Types'!$D$81)+SUMIFS(Physician_Visit_January,Physician_Visit_Practice,January!B48,Independent_Contractor_Visits,'Physician Types'!$D$81)*INDEX(Physician_Type_Hospitalists_Visit_Minutes,MATCH(January!B48,Physician_Type_Practice,0))/INDEX(Physician_Type_Visit_Minutes,MATCH(January!B48,Physician_Type_Practice,0)) +SUMIF(Physician_Minutes_Practice,January!B48,Physician_Minutes_January)/INDEX(Physician_Type_Visit_Minutes,MATCH(January!B48,Physician_Type_Practice,0))</f>
        <v>0</v>
      </c>
      <c r="I48" s="43">
        <f t="shared" si="6"/>
        <v>0</v>
      </c>
      <c r="J48" s="10">
        <f>E48*'Physician Types'!$E$4</f>
        <v>80.974233694752215</v>
      </c>
      <c r="K48" s="10">
        <f t="shared" si="8"/>
        <v>0</v>
      </c>
    </row>
    <row r="49" spans="1:11" x14ac:dyDescent="0.2">
      <c r="A49" s="158">
        <v>4</v>
      </c>
      <c r="B49" s="102" t="s">
        <v>61</v>
      </c>
      <c r="C49" s="5">
        <f>SUMIFS(Physician_Visit_January,Physician_Visit_Practice,January!B49,Physician_Visit_Hospitalists, "&lt;&gt;"&amp;'Physician Types'!$D$81)+SUMIFS(Physician_Visit_January,Physician_Visit_Practice,January!B49,Physician_Visit_Hospitalists,'Physician Types'!$D$81)*INDEX(Physician_Type_Hospitalists_Visit_Minutes,MATCH(January!B49,Physician_Type_Practice,0))/INDEX(Physician_Type_Visit_Minutes,MATCH(January!B49,Physician_Type_Practice,0)) +SUMIF(Physician_Minutes_Practice,January!B49,Physician_Minutes_January)/INDEX(Physician_Type_Visit_Minutes,MATCH(January!B49,Physician_Type_Practice,0))</f>
        <v>0</v>
      </c>
      <c r="D49" s="43">
        <f t="shared" si="5"/>
        <v>0</v>
      </c>
      <c r="E49" s="17">
        <f>INDEX(Physician_Type_Bed_Rate,MATCH(January!B49,Physician_Type_Practice,0))*'Hospital Input Page'!$C$4</f>
        <v>3071.9075400226566</v>
      </c>
      <c r="F49" s="9">
        <f t="shared" si="7"/>
        <v>0</v>
      </c>
      <c r="H49" s="5">
        <f>SUMIFS(Physician_Visit_January,Physician_Visit_Practice,January!B49,Independent_Contractor_Visits, "&lt;&gt;"&amp;'Physician Types'!$D$81)+SUMIFS(Physician_Visit_January,Physician_Visit_Practice,January!B49,Independent_Contractor_Visits,'Physician Types'!$D$81)*INDEX(Physician_Type_Hospitalists_Visit_Minutes,MATCH(January!B49,Physician_Type_Practice,0))/INDEX(Physician_Type_Visit_Minutes,MATCH(January!B49,Physician_Type_Practice,0)) +SUMIF(Physician_Minutes_Practice,January!B49,Physician_Minutes_January)/INDEX(Physician_Type_Visit_Minutes,MATCH(January!B49,Physician_Type_Practice,0))</f>
        <v>0</v>
      </c>
      <c r="I49" s="43">
        <f t="shared" si="6"/>
        <v>0</v>
      </c>
      <c r="J49" s="10">
        <f>E49*'Physician Types'!$E$4</f>
        <v>92.157226200679688</v>
      </c>
      <c r="K49" s="10">
        <f t="shared" si="8"/>
        <v>0</v>
      </c>
    </row>
    <row r="50" spans="1:11" x14ac:dyDescent="0.2">
      <c r="A50" s="158">
        <v>2</v>
      </c>
      <c r="B50" s="107" t="s">
        <v>34</v>
      </c>
      <c r="C50" s="5">
        <f>SUMIFS(Physician_Visit_January,Physician_Visit_Practice,January!B50,Physician_Visit_Hospitalists, "&lt;&gt;"&amp;'Physician Types'!$D$81)+SUMIFS(Physician_Visit_January,Physician_Visit_Practice,January!B50,Physician_Visit_Hospitalists,'Physician Types'!$D$81)*INDEX(Physician_Type_Hospitalists_Visit_Minutes,MATCH(January!B50,Physician_Type_Practice,0))/INDEX(Physician_Type_Visit_Minutes,MATCH(January!B50,Physician_Type_Practice,0)) +SUMIF(Physician_Minutes_Practice,January!B50,Physician_Minutes_January)/INDEX(Physician_Type_Visit_Minutes,MATCH(January!B50,Physician_Type_Practice,0))</f>
        <v>0</v>
      </c>
      <c r="D50" s="43">
        <f t="shared" si="5"/>
        <v>0</v>
      </c>
      <c r="E50" s="17">
        <f>INDEX(Physician_Type_Bed_Rate,MATCH(January!B50,Physician_Type_Practice,0))*'Hospital Input Page'!$C$4</f>
        <v>1619.8750052216039</v>
      </c>
      <c r="F50" s="9">
        <f t="shared" si="7"/>
        <v>0</v>
      </c>
      <c r="H50" s="5">
        <f>SUMIFS(Physician_Visit_January,Physician_Visit_Practice,January!B50,Independent_Contractor_Visits, "&lt;&gt;"&amp;'Physician Types'!$D$81)+SUMIFS(Physician_Visit_January,Physician_Visit_Practice,January!B50,Independent_Contractor_Visits,'Physician Types'!$D$81)*INDEX(Physician_Type_Hospitalists_Visit_Minutes,MATCH(January!B50,Physician_Type_Practice,0))/INDEX(Physician_Type_Visit_Minutes,MATCH(January!B50,Physician_Type_Practice,0)) +SUMIF(Physician_Minutes_Practice,January!B50,Physician_Minutes_January)/INDEX(Physician_Type_Visit_Minutes,MATCH(January!B50,Physician_Type_Practice,0))</f>
        <v>0</v>
      </c>
      <c r="I50" s="43">
        <f t="shared" si="6"/>
        <v>0</v>
      </c>
      <c r="J50" s="10">
        <f>E50*'Physician Types'!$E$4</f>
        <v>48.596250156648118</v>
      </c>
      <c r="K50" s="10">
        <f t="shared" si="8"/>
        <v>0</v>
      </c>
    </row>
    <row r="51" spans="1:11" x14ac:dyDescent="0.2">
      <c r="A51" s="158">
        <v>7</v>
      </c>
      <c r="B51" s="102" t="s">
        <v>72</v>
      </c>
      <c r="C51" s="5">
        <f>SUMIFS(Physician_Visit_January,Physician_Visit_Practice,January!B51,Physician_Visit_Hospitalists, "&lt;&gt;"&amp;'Physician Types'!$D$81)+SUMIFS(Physician_Visit_January,Physician_Visit_Practice,January!B51,Physician_Visit_Hospitalists,'Physician Types'!$D$81)*INDEX(Physician_Type_Hospitalists_Visit_Minutes,MATCH(January!B51,Physician_Type_Practice,0))/INDEX(Physician_Type_Visit_Minutes,MATCH(January!B51,Physician_Type_Practice,0)) +SUMIF(Physician_Minutes_Practice,January!B51,Physician_Minutes_January)/INDEX(Physician_Type_Visit_Minutes,MATCH(January!B51,Physician_Type_Practice,0))</f>
        <v>0</v>
      </c>
      <c r="D51" s="43">
        <f t="shared" si="5"/>
        <v>0</v>
      </c>
      <c r="E51" s="17">
        <f>INDEX(Physician_Type_Bed_Rate,MATCH(January!B51,Physician_Type_Practice,0))*'Hospital Input Page'!$C$4</f>
        <v>7974.4690016090053</v>
      </c>
      <c r="F51" s="9">
        <f t="shared" si="7"/>
        <v>0</v>
      </c>
      <c r="H51" s="5">
        <f>SUMIFS(Physician_Visit_January,Physician_Visit_Practice,January!B51,Independent_Contractor_Visits, "&lt;&gt;"&amp;'Physician Types'!$D$81)+SUMIFS(Physician_Visit_January,Physician_Visit_Practice,January!B51,Independent_Contractor_Visits,'Physician Types'!$D$81)*INDEX(Physician_Type_Hospitalists_Visit_Minutes,MATCH(January!B51,Physician_Type_Practice,0))/INDEX(Physician_Type_Visit_Minutes,MATCH(January!B51,Physician_Type_Practice,0)) +SUMIF(Physician_Minutes_Practice,January!B51,Physician_Minutes_January)/INDEX(Physician_Type_Visit_Minutes,MATCH(January!B51,Physician_Type_Practice,0))</f>
        <v>0</v>
      </c>
      <c r="I51" s="43">
        <f t="shared" si="6"/>
        <v>0</v>
      </c>
      <c r="J51" s="10">
        <f>E51*'Physician Types'!$E$4</f>
        <v>239.23407004827015</v>
      </c>
      <c r="K51" s="10">
        <f t="shared" si="8"/>
        <v>0</v>
      </c>
    </row>
    <row r="52" spans="1:11" x14ac:dyDescent="0.2">
      <c r="A52" s="158">
        <v>6</v>
      </c>
      <c r="B52" s="102" t="s">
        <v>69</v>
      </c>
      <c r="C52" s="5">
        <f>SUMIFS(Physician_Visit_January,Physician_Visit_Practice,January!B52,Physician_Visit_Hospitalists, "&lt;&gt;"&amp;'Physician Types'!$D$81)+SUMIFS(Physician_Visit_January,Physician_Visit_Practice,January!B52,Physician_Visit_Hospitalists,'Physician Types'!$D$81)*INDEX(Physician_Type_Hospitalists_Visit_Minutes,MATCH(January!B52,Physician_Type_Practice,0))/INDEX(Physician_Type_Visit_Minutes,MATCH(January!B52,Physician_Type_Practice,0)) +SUMIF(Physician_Minutes_Practice,January!B52,Physician_Minutes_January)/INDEX(Physician_Type_Visit_Minutes,MATCH(January!B52,Physician_Type_Practice,0))</f>
        <v>0</v>
      </c>
      <c r="D52" s="43">
        <f t="shared" si="5"/>
        <v>0</v>
      </c>
      <c r="E52" s="17">
        <f>INDEX(Physician_Type_Bed_Rate,MATCH(January!B52,Physician_Type_Practice,0))*'Hospital Input Page'!$C$4</f>
        <v>3534.4501619955722</v>
      </c>
      <c r="F52" s="9">
        <f t="shared" si="7"/>
        <v>0</v>
      </c>
      <c r="H52" s="5">
        <f>SUMIFS(Physician_Visit_January,Physician_Visit_Practice,January!B52,Independent_Contractor_Visits, "&lt;&gt;"&amp;'Physician Types'!$D$81)+SUMIFS(Physician_Visit_January,Physician_Visit_Practice,January!B52,Independent_Contractor_Visits,'Physician Types'!$D$81)*INDEX(Physician_Type_Hospitalists_Visit_Minutes,MATCH(January!B52,Physician_Type_Practice,0))/INDEX(Physician_Type_Visit_Minutes,MATCH(January!B52,Physician_Type_Practice,0)) +SUMIF(Physician_Minutes_Practice,January!B52,Physician_Minutes_January)/INDEX(Physician_Type_Visit_Minutes,MATCH(January!B52,Physician_Type_Practice,0))</f>
        <v>0</v>
      </c>
      <c r="I52" s="43">
        <f t="shared" si="6"/>
        <v>0</v>
      </c>
      <c r="J52" s="10">
        <f>E52*'Physician Types'!$E$4</f>
        <v>106.03350485986716</v>
      </c>
      <c r="K52" s="10">
        <f t="shared" si="8"/>
        <v>0</v>
      </c>
    </row>
    <row r="53" spans="1:11" x14ac:dyDescent="0.2">
      <c r="A53" s="158">
        <v>2</v>
      </c>
      <c r="B53" s="107" t="s">
        <v>35</v>
      </c>
      <c r="C53" s="5">
        <f>SUMIFS(Physician_Visit_January,Physician_Visit_Practice,January!B53,Physician_Visit_Hospitalists, "&lt;&gt;"&amp;'Physician Types'!$D$81)+SUMIFS(Physician_Visit_January,Physician_Visit_Practice,January!B53,Physician_Visit_Hospitalists,'Physician Types'!$D$81)*INDEX(Physician_Type_Hospitalists_Visit_Minutes,MATCH(January!B53,Physician_Type_Practice,0))/INDEX(Physician_Type_Visit_Minutes,MATCH(January!B53,Physician_Type_Practice,0)) +SUMIF(Physician_Minutes_Practice,January!B53,Physician_Minutes_January)/INDEX(Physician_Type_Visit_Minutes,MATCH(January!B53,Physician_Type_Practice,0))</f>
        <v>0</v>
      </c>
      <c r="D53" s="43">
        <f t="shared" si="5"/>
        <v>0</v>
      </c>
      <c r="E53" s="17">
        <f>INDEX(Physician_Type_Bed_Rate,MATCH(January!B53,Physician_Type_Practice,0))*'Hospital Input Page'!$C$4</f>
        <v>993.39322609373073</v>
      </c>
      <c r="F53" s="9">
        <f t="shared" si="7"/>
        <v>0</v>
      </c>
      <c r="H53" s="5">
        <f>SUMIFS(Physician_Visit_January,Physician_Visit_Practice,January!B53,Independent_Contractor_Visits, "&lt;&gt;"&amp;'Physician Types'!$D$81)+SUMIFS(Physician_Visit_January,Physician_Visit_Practice,January!B53,Independent_Contractor_Visits,'Physician Types'!$D$81)*INDEX(Physician_Type_Hospitalists_Visit_Minutes,MATCH(January!B53,Physician_Type_Practice,0))/INDEX(Physician_Type_Visit_Minutes,MATCH(January!B53,Physician_Type_Practice,0)) +SUMIF(Physician_Minutes_Practice,January!B53,Physician_Minutes_January)/INDEX(Physician_Type_Visit_Minutes,MATCH(January!B53,Physician_Type_Practice,0))</f>
        <v>0</v>
      </c>
      <c r="I53" s="43">
        <f t="shared" si="6"/>
        <v>0</v>
      </c>
      <c r="J53" s="10">
        <f>E53*'Physician Types'!$E$4</f>
        <v>29.80179678281192</v>
      </c>
      <c r="K53" s="10">
        <f t="shared" si="8"/>
        <v>0</v>
      </c>
    </row>
    <row r="54" spans="1:11" x14ac:dyDescent="0.2">
      <c r="A54" s="158"/>
      <c r="B54" s="161" t="s">
        <v>136</v>
      </c>
      <c r="C54" s="5">
        <f>SUMIFS(Physician_Visit_January,Physician_Visit_Practice,January!B54,Physician_Visit_Hospitalists, "&lt;&gt;"&amp;'Physician Types'!$D$81)+SUMIFS(Physician_Visit_January,Physician_Visit_Practice,January!B54,Physician_Visit_Hospitalists,'Physician Types'!$D$81)*INDEX(Physician_Type_Hospitalists_Visit_Minutes,MATCH(January!B54,Physician_Type_Practice,0))/INDEX(Physician_Type_Visit_Minutes,MATCH(January!B54,Physician_Type_Practice,0)) +SUMIF(Physician_Minutes_Practice,January!B54,Physician_Minutes_January)/INDEX(Physician_Type_Visit_Minutes,MATCH(January!B54,Physician_Type_Practice,0))</f>
        <v>75</v>
      </c>
      <c r="D54" s="43">
        <f t="shared" si="5"/>
        <v>0.10817515721456181</v>
      </c>
      <c r="E54" s="17">
        <f>INDEX(Physician_Type_Bed_Rate,MATCH(January!B54,Physician_Type_Practice,0))*'Hospital Input Page'!$C$4</f>
        <v>1727.2161200254454</v>
      </c>
      <c r="F54" s="9">
        <f>C54*E54/100</f>
        <v>1295.4120900190842</v>
      </c>
      <c r="H54" s="5">
        <f t="array" ref="H54">SUMIFS(Physician_Visit_January, Physician_Visit_Practice, January!B54, Independent_Contractor_Visits, 'Physician Types'!$D$81)</f>
        <v>2</v>
      </c>
      <c r="I54" s="43">
        <f t="shared" si="6"/>
        <v>2.8846708590549814E-3</v>
      </c>
      <c r="J54" s="10">
        <f>E54*'Physician Types'!$E$4</f>
        <v>51.816483600763362</v>
      </c>
      <c r="K54" s="10">
        <f t="shared" si="8"/>
        <v>0.14947350026182241</v>
      </c>
    </row>
    <row r="55" spans="1:11" x14ac:dyDescent="0.2">
      <c r="A55" s="158">
        <v>2</v>
      </c>
      <c r="B55" s="107" t="s">
        <v>36</v>
      </c>
      <c r="C55" s="5">
        <f>SUMIFS(Physician_Visit_January,Physician_Visit_Practice,January!B55,Physician_Visit_Hospitalists, "&lt;&gt;"&amp;'Physician Types'!$D$81)+SUMIFS(Physician_Visit_January,Physician_Visit_Practice,January!B55,Physician_Visit_Hospitalists,'Physician Types'!$D$81)*INDEX(Physician_Type_Hospitalists_Visit_Minutes,MATCH(January!B55,Physician_Type_Practice,0))/INDEX(Physician_Type_Visit_Minutes,MATCH(January!B55,Physician_Type_Practice,0)) +SUMIF(Physician_Minutes_Practice,January!B55,Physician_Minutes_January)/INDEX(Physician_Type_Visit_Minutes,MATCH(January!B55,Physician_Type_Practice,0))</f>
        <v>0</v>
      </c>
      <c r="D55" s="43">
        <f t="shared" si="5"/>
        <v>0</v>
      </c>
      <c r="E55" s="17">
        <f>INDEX(Physician_Type_Bed_Rate,MATCH(January!B55,Physician_Type_Practice,0))*'Hospital Input Page'!$C$4</f>
        <v>2544.9602491674359</v>
      </c>
      <c r="F55" s="9">
        <f t="shared" si="7"/>
        <v>0</v>
      </c>
      <c r="H55" s="5">
        <f>SUMIFS(Physician_Visit_January,Physician_Visit_Practice,January!B55,Independent_Contractor_Visits, "&lt;&gt;"&amp;'Physician Types'!$D$81)+SUMIFS(Physician_Visit_January,Physician_Visit_Practice,January!B55,Independent_Contractor_Visits,'Physician Types'!$D$81)*INDEX(Physician_Type_Hospitalists_Visit_Minutes,MATCH(January!B55,Physician_Type_Practice,0))/INDEX(Physician_Type_Visit_Minutes,MATCH(January!B55,Physician_Type_Practice,0)) +SUMIF(Physician_Minutes_Practice,January!B55,Physician_Minutes_January)/INDEX(Physician_Type_Visit_Minutes,MATCH(January!B55,Physician_Type_Practice,0))</f>
        <v>0</v>
      </c>
      <c r="I55" s="43">
        <f t="shared" si="6"/>
        <v>0</v>
      </c>
      <c r="J55" s="10">
        <f>E55*'Physician Types'!$E$4</f>
        <v>76.348807475023079</v>
      </c>
      <c r="K55" s="10">
        <f t="shared" si="8"/>
        <v>0</v>
      </c>
    </row>
    <row r="56" spans="1:11" x14ac:dyDescent="0.2">
      <c r="A56" s="158">
        <v>2</v>
      </c>
      <c r="B56" s="107" t="s">
        <v>37</v>
      </c>
      <c r="C56" s="5">
        <f>SUMIFS(Physician_Visit_January,Physician_Visit_Practice,January!B56,Physician_Visit_Hospitalists, "&lt;&gt;"&amp;'Physician Types'!$D$81)+SUMIFS(Physician_Visit_January,Physician_Visit_Practice,January!B56,Physician_Visit_Hospitalists,'Physician Types'!$D$81)*INDEX(Physician_Type_Hospitalists_Visit_Minutes,MATCH(January!B56,Physician_Type_Practice,0))/INDEX(Physician_Type_Visit_Minutes,MATCH(January!B56,Physician_Type_Practice,0)) +SUMIF(Physician_Minutes_Practice,January!B56,Physician_Minutes_January)/INDEX(Physician_Type_Visit_Minutes,MATCH(January!B56,Physician_Type_Practice,0))</f>
        <v>0</v>
      </c>
      <c r="D56" s="43">
        <f t="shared" si="5"/>
        <v>0</v>
      </c>
      <c r="E56" s="17">
        <f>INDEX(Physician_Type_Bed_Rate,MATCH(January!B56,Physician_Type_Practice,0))*'Hospital Input Page'!$C$4</f>
        <v>1567.1802761360821</v>
      </c>
      <c r="F56" s="9">
        <f t="shared" si="7"/>
        <v>0</v>
      </c>
      <c r="H56" s="5">
        <f t="array" ref="H56">SUMIFS(Physician_Visit_January, Physician_Visit_Practice, January!B56, Independent_Contractor_Visits,  'Physician Types'!$D$81) + SUMIFS(Physician_Minutes_January,Physician_Minutes_Practice,January!B56, Independent_Contractor_Minutes, 'Physician Types'!$D$81)/INDEX(Physician_Type_Visit_Minutes,MATCH(January!B56,Physician_Type_Practice,0))</f>
        <v>0</v>
      </c>
      <c r="I56" s="43">
        <f t="shared" si="6"/>
        <v>0</v>
      </c>
      <c r="J56" s="10">
        <f>E56*'Physician Types'!$E$4</f>
        <v>47.015408284082461</v>
      </c>
      <c r="K56" s="10">
        <f t="shared" si="8"/>
        <v>0</v>
      </c>
    </row>
    <row r="57" spans="1:11" x14ac:dyDescent="0.2">
      <c r="A57" s="158">
        <v>2</v>
      </c>
      <c r="B57" s="107" t="s">
        <v>38</v>
      </c>
      <c r="C57" s="5">
        <f>SUMIFS(Physician_Visit_January,Physician_Visit_Practice,January!B57,Physician_Visit_Hospitalists, "&lt;&gt;"&amp;'Physician Types'!$D$81)+SUMIFS(Physician_Visit_January,Physician_Visit_Practice,January!B57,Physician_Visit_Hospitalists,'Physician Types'!$D$81)*INDEX(Physician_Type_Hospitalists_Visit_Minutes,MATCH(January!B57,Physician_Type_Practice,0))/INDEX(Physician_Type_Visit_Minutes,MATCH(January!B57,Physician_Type_Practice,0)) +SUMIF(Physician_Minutes_Practice,January!B57,Physician_Minutes_January)/INDEX(Physician_Type_Visit_Minutes,MATCH(January!B57,Physician_Type_Practice,0))</f>
        <v>0</v>
      </c>
      <c r="D57" s="43">
        <f t="shared" si="5"/>
        <v>0</v>
      </c>
      <c r="E57" s="17">
        <f>INDEX(Physician_Type_Bed_Rate,MATCH(January!B57,Physician_Type_Practice,0))*'Hospital Input Page'!$C$4</f>
        <v>4399.0340503246935</v>
      </c>
      <c r="F57" s="9">
        <f t="shared" si="7"/>
        <v>0</v>
      </c>
      <c r="H57" s="5">
        <f t="array" ref="H57">SUMIFS(Physician_Visit_January, Physician_Visit_Practice, January!B57, Independent_Contractor_Visits,  'Physician Types'!$D$81) + SUMIFS(Physician_Minutes_January,Physician_Minutes_Practice,January!B57, Independent_Contractor_Minutes, 'Physician Types'!$D$81)/INDEX(Physician_Type_Visit_Minutes,MATCH(January!B57,Physician_Type_Practice,0))</f>
        <v>0</v>
      </c>
      <c r="I57" s="43">
        <f t="shared" si="6"/>
        <v>0</v>
      </c>
      <c r="J57" s="10">
        <f>E57*'Physician Types'!$E$4</f>
        <v>131.97102150974081</v>
      </c>
      <c r="K57" s="10">
        <f t="shared" si="8"/>
        <v>0</v>
      </c>
    </row>
    <row r="58" spans="1:11" x14ac:dyDescent="0.2">
      <c r="A58" s="158">
        <v>3</v>
      </c>
      <c r="B58" s="161" t="s">
        <v>155</v>
      </c>
      <c r="C58" s="5">
        <f>SUMIFS(Physician_Visit_January,Physician_Visit_Practice,January!B58,Physician_Visit_Hospitalists, "&lt;&gt;"&amp;'Physician Types'!$D$81)+SUMIFS(Physician_Visit_January,Physician_Visit_Practice,January!B58,Physician_Visit_Hospitalists,'Physician Types'!$D$81)*INDEX(Physician_Type_Hospitalists_Visit_Minutes,MATCH(January!B58,Physician_Type_Practice,0))/INDEX(Physician_Type_Visit_Minutes,MATCH(January!B58,Physician_Type_Practice,0)) +SUMIF(Physician_Minutes_Practice,January!B58,Physician_Minutes_January)/INDEX(Physician_Type_Visit_Minutes,MATCH(January!B58,Physician_Type_Practice,0))</f>
        <v>300</v>
      </c>
      <c r="D58" s="43">
        <f t="shared" si="5"/>
        <v>0.57693417181099627</v>
      </c>
      <c r="E58" s="17">
        <f>INDEX(Physician_Type_Bed_Rate,MATCH(January!B58,Physician_Type_Practice,0))*'Hospital Input Page'!$C$4</f>
        <v>1951.6566327971132</v>
      </c>
      <c r="F58" s="9">
        <f t="shared" si="7"/>
        <v>1125.97740310224</v>
      </c>
      <c r="H58" s="5">
        <f t="array" ref="H58">SUMIFS(Physician_Visit_January, Physician_Visit_Practice, January!B58, Independent_Contractor_Visits,  'Physician Types'!$D$81) + SUMIFS(Physician_Minutes_January,Physician_Minutes_Practice,January!B58, Independent_Contractor_Minutes, 'Physician Types'!$D$81)/INDEX(Physician_Type_Visit_Minutes,MATCH(January!B58,Physician_Type_Practice,0))</f>
        <v>0</v>
      </c>
      <c r="I58" s="43">
        <f t="shared" si="6"/>
        <v>0</v>
      </c>
      <c r="J58" s="10">
        <f>E58*'Physician Types'!$E$4</f>
        <v>58.549698983913395</v>
      </c>
      <c r="K58" s="10">
        <f t="shared" si="8"/>
        <v>0</v>
      </c>
    </row>
    <row r="59" spans="1:11" x14ac:dyDescent="0.2">
      <c r="A59" s="158">
        <v>5</v>
      </c>
      <c r="B59" s="161" t="s">
        <v>137</v>
      </c>
      <c r="C59" s="5">
        <f>SUMIFS(Physician_Visit_January,Physician_Visit_Practice,January!B59,Physician_Visit_Hospitalists, "&lt;&gt;"&amp;'Physician Types'!$D$81)+SUMIFS(Physician_Visit_January,Physician_Visit_Practice,January!B59,Physician_Visit_Hospitalists,'Physician Types'!$D$81)*INDEX(Physician_Type_Hospitalists_Visit_Minutes,MATCH(January!B59,Physician_Type_Practice,0))/INDEX(Physician_Type_Visit_Minutes,MATCH(January!B59,Physician_Type_Practice,0)) +SUMIF(Physician_Minutes_Practice,January!B59,Physician_Minutes_January)/INDEX(Physician_Type_Visit_Minutes,MATCH(January!B59,Physician_Type_Practice,0))</f>
        <v>0</v>
      </c>
      <c r="D59" s="43">
        <f t="shared" si="5"/>
        <v>0</v>
      </c>
      <c r="E59" s="17">
        <f>INDEX(Physician_Type_Bed_Rate,MATCH(January!B59,Physician_Type_Practice,0))*'Hospital Input Page'!$C$4</f>
        <v>4933.7879677111023</v>
      </c>
      <c r="F59" s="9">
        <f t="shared" si="7"/>
        <v>0</v>
      </c>
      <c r="H59" s="5">
        <f t="array" ref="H59">SUMIFS(Physician_Visit_January, Physician_Visit_Practice, January!B59, Independent_Contractor_Visits,  'Physician Types'!$D$81) + SUMIFS(Physician_Minutes_January,Physician_Minutes_Practice,January!B59, Independent_Contractor_Minutes, 'Physician Types'!$D$81)/INDEX(Physician_Type_Visit_Minutes,MATCH(January!B59,Physician_Type_Practice,0))</f>
        <v>0</v>
      </c>
      <c r="I59" s="43">
        <f t="shared" si="6"/>
        <v>0</v>
      </c>
      <c r="J59" s="10">
        <f>E59*'Physician Types'!$E$4</f>
        <v>148.01363903133307</v>
      </c>
      <c r="K59" s="10">
        <f t="shared" si="8"/>
        <v>0</v>
      </c>
    </row>
    <row r="60" spans="1:11" x14ac:dyDescent="0.2">
      <c r="A60" s="158">
        <v>6</v>
      </c>
      <c r="B60" s="102" t="s">
        <v>70</v>
      </c>
      <c r="C60" s="5">
        <f>SUMIFS(Physician_Visit_January,Physician_Visit_Practice,January!B60,Physician_Visit_Hospitalists, "&lt;&gt;"&amp;'Physician Types'!$D$81)+SUMIFS(Physician_Visit_January,Physician_Visit_Practice,January!B60,Physician_Visit_Hospitalists,'Physician Types'!$D$81)*INDEX(Physician_Type_Hospitalists_Visit_Minutes,MATCH(January!B60,Physician_Type_Practice,0))/INDEX(Physician_Type_Visit_Minutes,MATCH(January!B60,Physician_Type_Practice,0)) +SUMIF(Physician_Minutes_Practice,January!B60,Physician_Minutes_January)/INDEX(Physician_Type_Visit_Minutes,MATCH(January!B60,Physician_Type_Practice,0))</f>
        <v>0</v>
      </c>
      <c r="D60" s="43">
        <f t="shared" si="5"/>
        <v>0</v>
      </c>
      <c r="E60" s="17">
        <f>INDEX(Physician_Type_Bed_Rate,MATCH(January!B60,Physician_Type_Practice,0))*'Hospital Input Page'!$C$4</f>
        <v>5179.6967034435384</v>
      </c>
      <c r="F60" s="9">
        <f t="shared" si="7"/>
        <v>0</v>
      </c>
      <c r="H60" s="5">
        <f t="array" ref="H60">SUMIFS(Physician_Visit_January, Physician_Visit_Practice, January!B60, Independent_Contractor_Visits,  'Physician Types'!$D$81) + SUMIFS(Physician_Minutes_January,Physician_Minutes_Practice,January!B60, Independent_Contractor_Minutes, 'Physician Types'!$D$81)/INDEX(Physician_Type_Visit_Minutes,MATCH(January!B60,Physician_Type_Practice,0))</f>
        <v>0</v>
      </c>
      <c r="I60" s="43">
        <f t="shared" si="6"/>
        <v>0</v>
      </c>
      <c r="J60" s="10">
        <f>E60*'Physician Types'!$E$4</f>
        <v>155.39090110330613</v>
      </c>
      <c r="K60" s="10">
        <f t="shared" si="8"/>
        <v>0</v>
      </c>
    </row>
    <row r="61" spans="1:11" x14ac:dyDescent="0.2">
      <c r="A61" s="158">
        <v>2</v>
      </c>
      <c r="B61" s="107" t="s">
        <v>39</v>
      </c>
      <c r="C61" s="5">
        <f>SUMIFS(Physician_Visit_January,Physician_Visit_Practice,January!B61,Physician_Visit_Hospitalists, "&lt;&gt;"&amp;'Physician Types'!$D$81)+SUMIFS(Physician_Visit_January,Physician_Visit_Practice,January!B61,Physician_Visit_Hospitalists,'Physician Types'!$D$81)*INDEX(Physician_Type_Hospitalists_Visit_Minutes,MATCH(January!B61,Physician_Type_Practice,0))/INDEX(Physician_Type_Visit_Minutes,MATCH(January!B61,Physician_Type_Practice,0)) +SUMIF(Physician_Minutes_Practice,January!B61,Physician_Minutes_January)/INDEX(Physician_Type_Visit_Minutes,MATCH(January!B61,Physician_Type_Practice,0))</f>
        <v>0</v>
      </c>
      <c r="D61" s="43">
        <f t="shared" si="5"/>
        <v>0</v>
      </c>
      <c r="E61" s="17">
        <f>INDEX(Physician_Type_Bed_Rate,MATCH(January!B61,Physician_Type_Practice,0))*'Hospital Input Page'!$C$4</f>
        <v>2539.1052792690443</v>
      </c>
      <c r="F61" s="9">
        <f t="shared" si="7"/>
        <v>0</v>
      </c>
      <c r="H61" s="5">
        <f t="array" ref="H61">SUMIFS(Physician_Visit_January, Physician_Visit_Practice, January!B61, Independent_Contractor_Visits,  'Physician Types'!$D$81) + SUMIFS(Physician_Minutes_January,Physician_Minutes_Practice,January!B61, Independent_Contractor_Minutes, 'Physician Types'!$D$81)/INDEX(Physician_Type_Visit_Minutes,MATCH(January!B61,Physician_Type_Practice,0))</f>
        <v>0</v>
      </c>
      <c r="I61" s="43">
        <f t="shared" si="6"/>
        <v>0</v>
      </c>
      <c r="J61" s="10">
        <f>E61*'Physician Types'!$E$4</f>
        <v>76.173158378071321</v>
      </c>
      <c r="K61" s="10">
        <f t="shared" si="8"/>
        <v>0</v>
      </c>
    </row>
    <row r="62" spans="1:11" x14ac:dyDescent="0.2">
      <c r="A62" s="158">
        <v>2</v>
      </c>
      <c r="B62" s="107" t="s">
        <v>40</v>
      </c>
      <c r="C62" s="5">
        <f>SUMIFS(Physician_Visit_January,Physician_Visit_Practice,January!B62,Physician_Visit_Hospitalists, "&lt;&gt;"&amp;'Physician Types'!$D$81)+SUMIFS(Physician_Visit_January,Physician_Visit_Practice,January!B62,Physician_Visit_Hospitalists,'Physician Types'!$D$81)*INDEX(Physician_Type_Hospitalists_Visit_Minutes,MATCH(January!B62,Physician_Type_Practice,0))/INDEX(Physician_Type_Visit_Minutes,MATCH(January!B62,Physician_Type_Practice,0)) +SUMIF(Physician_Minutes_Practice,January!B62,Physician_Minutes_January)/INDEX(Physician_Type_Visit_Minutes,MATCH(January!B62,Physician_Type_Practice,0))</f>
        <v>0</v>
      </c>
      <c r="D62" s="43">
        <f t="shared" si="5"/>
        <v>0</v>
      </c>
      <c r="E62" s="17">
        <f>INDEX(Physician_Type_Bed_Rate,MATCH(January!B62,Physician_Type_Practice,0))*'Hospital Input Page'!$C$4</f>
        <v>1619.8750052216039</v>
      </c>
      <c r="F62" s="9">
        <f t="shared" si="7"/>
        <v>0</v>
      </c>
      <c r="H62" s="5">
        <f t="array" ref="H62">SUMIFS(Physician_Visit_January, Physician_Visit_Practice, January!B62, Independent_Contractor_Visits,  'Physician Types'!$D$81) + SUMIFS(Physician_Minutes_January,Physician_Minutes_Practice,January!B62, Independent_Contractor_Minutes, 'Physician Types'!$D$81)/INDEX(Physician_Type_Visit_Minutes,MATCH(January!B62,Physician_Type_Practice,0))</f>
        <v>0</v>
      </c>
      <c r="I62" s="43">
        <f t="shared" si="6"/>
        <v>0</v>
      </c>
      <c r="J62" s="10">
        <f>E62*'Physician Types'!$E$4</f>
        <v>48.596250156648118</v>
      </c>
      <c r="K62" s="10">
        <f t="shared" si="8"/>
        <v>0</v>
      </c>
    </row>
    <row r="63" spans="1:11" x14ac:dyDescent="0.2">
      <c r="A63" s="158">
        <v>2</v>
      </c>
      <c r="B63" s="107" t="s">
        <v>41</v>
      </c>
      <c r="C63" s="5">
        <f>SUMIFS(Physician_Visit_January,Physician_Visit_Practice,January!B63,Physician_Visit_Hospitalists, "&lt;&gt;"&amp;'Physician Types'!$D$81)+SUMIFS(Physician_Visit_January,Physician_Visit_Practice,January!B63,Physician_Visit_Hospitalists,'Physician Types'!$D$81)*INDEX(Physician_Type_Hospitalists_Visit_Minutes,MATCH(January!B63,Physician_Type_Practice,0))/INDEX(Physician_Type_Visit_Minutes,MATCH(January!B63,Physician_Type_Practice,0)) +SUMIF(Physician_Minutes_Practice,January!B63,Physician_Minutes_January)/INDEX(Physician_Type_Visit_Minutes,MATCH(January!B63,Physician_Type_Practice,0))</f>
        <v>0</v>
      </c>
      <c r="D63" s="43">
        <f t="shared" si="5"/>
        <v>0</v>
      </c>
      <c r="E63" s="17">
        <f>INDEX(Physician_Type_Bed_Rate,MATCH(January!B63,Physician_Type_Practice,0))*'Hospital Input Page'!$C$4</f>
        <v>4844.0117626024357</v>
      </c>
      <c r="F63" s="9">
        <f t="shared" si="7"/>
        <v>0</v>
      </c>
      <c r="H63" s="5">
        <f t="array" ref="H63">SUMIFS(Physician_Visit_January, Physician_Visit_Practice, January!B63, Independent_Contractor_Visits,  'Physician Types'!$D$81) + SUMIFS(Physician_Minutes_January,Physician_Minutes_Practice,January!B63, Independent_Contractor_Minutes, 'Physician Types'!$D$81)/INDEX(Physician_Type_Visit_Minutes,MATCH(January!B63,Physician_Type_Practice,0))</f>
        <v>0</v>
      </c>
      <c r="I63" s="43">
        <f t="shared" si="6"/>
        <v>0</v>
      </c>
      <c r="J63" s="10">
        <f>E63*'Physician Types'!$E$4</f>
        <v>145.32035287807307</v>
      </c>
      <c r="K63" s="10">
        <f t="shared" si="8"/>
        <v>0</v>
      </c>
    </row>
    <row r="64" spans="1:11" x14ac:dyDescent="0.2">
      <c r="A64" s="158">
        <v>6</v>
      </c>
      <c r="B64" s="128" t="s">
        <v>138</v>
      </c>
      <c r="C64" s="5">
        <f>SUMIFS(Physician_Visit_January,Physician_Visit_Practice,January!B64,Physician_Visit_Hospitalists, "&lt;&gt;"&amp;'Physician Types'!$D$81)+SUMIFS(Physician_Visit_January,Physician_Visit_Practice,January!B64,Physician_Visit_Hospitalists,'Physician Types'!$D$81)*INDEX(Physician_Type_Hospitalists_Visit_Minutes,MATCH(January!B64,Physician_Type_Practice,0))/INDEX(Physician_Type_Visit_Minutes,MATCH(January!B64,Physician_Type_Practice,0)) +SUMIF(Physician_Minutes_Practice,January!B64,Physician_Minutes_January)/INDEX(Physician_Type_Visit_Minutes,MATCH(January!B64,Physician_Type_Practice,0))</f>
        <v>0</v>
      </c>
      <c r="D64" s="43">
        <f t="shared" si="5"/>
        <v>0</v>
      </c>
      <c r="E64" s="17">
        <f>INDEX(Physician_Type_Bed_Rate,MATCH(January!B64,Physician_Type_Practice,0))*'Hospital Input Page'!$C$4</f>
        <v>5782.7586029778467</v>
      </c>
      <c r="F64" s="9">
        <f t="shared" si="7"/>
        <v>0</v>
      </c>
      <c r="H64" s="5">
        <f t="array" ref="H64">SUMIFS(Physician_Visit_January, Physician_Visit_Practice, January!B64, Independent_Contractor_Visits,  'Physician Types'!$D$81) + SUMIFS(Physician_Minutes_January,Physician_Minutes_Practice,January!B64, Independent_Contractor_Minutes, 'Physician Types'!$D$81)/INDEX(Physician_Type_Visit_Minutes,MATCH(January!B64,Physician_Type_Practice,0))</f>
        <v>0</v>
      </c>
      <c r="I64" s="43">
        <f t="shared" si="6"/>
        <v>0</v>
      </c>
      <c r="J64" s="10">
        <f>E64*'Physician Types'!$E$4</f>
        <v>173.48275808933539</v>
      </c>
      <c r="K64" s="10">
        <f t="shared" si="8"/>
        <v>0</v>
      </c>
    </row>
    <row r="65" spans="1:11" x14ac:dyDescent="0.2">
      <c r="A65" s="158">
        <v>2</v>
      </c>
      <c r="B65" s="107" t="s">
        <v>42</v>
      </c>
      <c r="C65" s="5">
        <f>SUMIFS(Physician_Visit_January,Physician_Visit_Practice,January!B65,Physician_Visit_Hospitalists, "&lt;&gt;"&amp;'Physician Types'!$D$81)+SUMIFS(Physician_Visit_January,Physician_Visit_Practice,January!B65,Physician_Visit_Hospitalists,'Physician Types'!$D$81)*INDEX(Physician_Type_Hospitalists_Visit_Minutes,MATCH(January!B65,Physician_Type_Practice,0))/INDEX(Physician_Type_Visit_Minutes,MATCH(January!B65,Physician_Type_Practice,0)) +SUMIF(Physician_Minutes_Practice,January!B65,Physician_Minutes_January)/INDEX(Physician_Type_Visit_Minutes,MATCH(January!B65,Physician_Type_Practice,0))</f>
        <v>0</v>
      </c>
      <c r="D65" s="43">
        <f t="shared" si="5"/>
        <v>0</v>
      </c>
      <c r="E65" s="17">
        <f>INDEX(Physician_Type_Bed_Rate,MATCH(January!B65,Physician_Type_Practice,0))*'Hospital Input Page'!$C$4</f>
        <v>1487.1623541914003</v>
      </c>
      <c r="F65" s="9">
        <f t="shared" si="7"/>
        <v>0</v>
      </c>
      <c r="H65" s="5">
        <f t="array" ref="H65">SUMIFS(Physician_Visit_January, Physician_Visit_Practice, January!B65, Independent_Contractor_Visits,  'Physician Types'!$D$81) + SUMIFS(Physician_Minutes_January,Physician_Minutes_Practice,January!B65, Independent_Contractor_Minutes, 'Physician Types'!$D$81)/INDEX(Physician_Type_Visit_Minutes,MATCH(January!B65,Physician_Type_Practice,0))</f>
        <v>0</v>
      </c>
      <c r="I65" s="43">
        <f t="shared" si="6"/>
        <v>0</v>
      </c>
      <c r="J65" s="10">
        <f>E65*'Physician Types'!$E$4</f>
        <v>44.614870625742007</v>
      </c>
      <c r="K65" s="10">
        <f t="shared" si="8"/>
        <v>0</v>
      </c>
    </row>
    <row r="66" spans="1:11" x14ac:dyDescent="0.2">
      <c r="A66" s="158">
        <v>5</v>
      </c>
      <c r="B66" s="102" t="s">
        <v>64</v>
      </c>
      <c r="C66" s="5">
        <f>SUMIFS(Physician_Visit_January,Physician_Visit_Practice,January!B66,Physician_Visit_Hospitalists, "&lt;&gt;"&amp;'Physician Types'!$D$81)+SUMIFS(Physician_Visit_January,Physician_Visit_Practice,January!B66,Physician_Visit_Hospitalists,'Physician Types'!$D$81)*INDEX(Physician_Type_Hospitalists_Visit_Minutes,MATCH(January!B66,Physician_Type_Practice,0))/INDEX(Physician_Type_Visit_Minutes,MATCH(January!B66,Physician_Type_Practice,0)) +SUMIF(Physician_Minutes_Practice,January!B66,Physician_Minutes_January)/INDEX(Physician_Type_Visit_Minutes,MATCH(January!B66,Physician_Type_Practice,0))</f>
        <v>0</v>
      </c>
      <c r="D66" s="43">
        <f t="shared" si="5"/>
        <v>0</v>
      </c>
      <c r="E66" s="17">
        <f>INDEX(Physician_Type_Bed_Rate,MATCH(January!B66,Physician_Type_Practice,0))*'Hospital Input Page'!$C$4</f>
        <v>2406.3926282388406</v>
      </c>
      <c r="F66" s="9">
        <f t="shared" si="7"/>
        <v>0</v>
      </c>
      <c r="H66" s="5">
        <f t="array" ref="H66">SUMIFS(Physician_Visit_January, Physician_Visit_Practice, January!B66, Independent_Contractor_Visits,  'Physician Types'!$D$81) + SUMIFS(Physician_Minutes_January,Physician_Minutes_Practice,January!B66, Independent_Contractor_Minutes, 'Physician Types'!$D$81)/INDEX(Physician_Type_Visit_Minutes,MATCH(January!B66,Physician_Type_Practice,0))</f>
        <v>0</v>
      </c>
      <c r="I66" s="43">
        <f t="shared" si="6"/>
        <v>0</v>
      </c>
      <c r="J66" s="10">
        <f>E66*'Physician Types'!$E$4</f>
        <v>72.19177884716521</v>
      </c>
      <c r="K66" s="10">
        <f t="shared" si="8"/>
        <v>0</v>
      </c>
    </row>
    <row r="67" spans="1:11" x14ac:dyDescent="0.2">
      <c r="A67" s="158">
        <v>5</v>
      </c>
      <c r="B67" s="102" t="s">
        <v>65</v>
      </c>
      <c r="C67" s="5">
        <f>SUMIFS(Physician_Visit_January,Physician_Visit_Practice,January!B67,Physician_Visit_Hospitalists, "&lt;&gt;"&amp;'Physician Types'!$D$81)+SUMIFS(Physician_Visit_January,Physician_Visit_Practice,January!B67,Physician_Visit_Hospitalists,'Physician Types'!$D$81)*INDEX(Physician_Type_Hospitalists_Visit_Minutes,MATCH(January!B67,Physician_Type_Practice,0))/INDEX(Physician_Type_Visit_Minutes,MATCH(January!B67,Physician_Type_Practice,0)) +SUMIF(Physician_Minutes_Practice,January!B67,Physician_Minutes_January)/INDEX(Physician_Type_Visit_Minutes,MATCH(January!B67,Physician_Type_Practice,0))</f>
        <v>0</v>
      </c>
      <c r="D67" s="43">
        <f t="shared" si="5"/>
        <v>0</v>
      </c>
      <c r="E67" s="17">
        <f>INDEX(Physician_Type_Bed_Rate,MATCH(January!B67,Physician_Type_Practice,0))*'Hospital Input Page'!$C$4</f>
        <v>1487.1623541914003</v>
      </c>
      <c r="F67" s="9">
        <f t="shared" si="7"/>
        <v>0</v>
      </c>
      <c r="H67" s="5">
        <f t="array" ref="H67">SUMIFS(Physician_Visit_January, Physician_Visit_Practice, January!B67, Independent_Contractor_Visits,  'Physician Types'!$D$81) + SUMIFS(Physician_Minutes_January,Physician_Minutes_Practice,January!B67, Independent_Contractor_Minutes, 'Physician Types'!$D$81)/INDEX(Physician_Type_Visit_Minutes,MATCH(January!B67,Physician_Type_Practice,0))</f>
        <v>0</v>
      </c>
      <c r="I67" s="43">
        <f t="shared" si="6"/>
        <v>0</v>
      </c>
      <c r="J67" s="10">
        <f>E67*'Physician Types'!$E$4</f>
        <v>44.614870625742007</v>
      </c>
      <c r="K67" s="10">
        <f t="shared" si="8"/>
        <v>0</v>
      </c>
    </row>
    <row r="68" spans="1:11" x14ac:dyDescent="0.2">
      <c r="A68" s="158">
        <v>5</v>
      </c>
      <c r="B68" s="102" t="s">
        <v>66</v>
      </c>
      <c r="C68" s="5">
        <f>SUMIFS(Physician_Visit_January,Physician_Visit_Practice,January!B68,Physician_Visit_Hospitalists, "&lt;&gt;"&amp;'Physician Types'!$D$81)+SUMIFS(Physician_Visit_January,Physician_Visit_Practice,January!B68,Physician_Visit_Hospitalists,'Physician Types'!$D$81)*INDEX(Physician_Type_Hospitalists_Visit_Minutes,MATCH(January!B68,Physician_Type_Practice,0))/INDEX(Physician_Type_Visit_Minutes,MATCH(January!B68,Physician_Type_Practice,0)) +SUMIF(Physician_Minutes_Practice,January!B68,Physician_Minutes_January)/INDEX(Physician_Type_Visit_Minutes,MATCH(January!B68,Physician_Type_Practice,0))</f>
        <v>0</v>
      </c>
      <c r="D68" s="43">
        <f t="shared" si="5"/>
        <v>0</v>
      </c>
      <c r="E68" s="17">
        <f>INDEX(Physician_Type_Bed_Rate,MATCH(January!B68,Physician_Type_Practice,0))*'Hospital Input Page'!$C$4</f>
        <v>4644.9427860571295</v>
      </c>
      <c r="F68" s="9">
        <f t="shared" si="7"/>
        <v>0</v>
      </c>
      <c r="H68" s="5">
        <f t="array" ref="H68">SUMIFS(Physician_Visit_January, Physician_Visit_Practice, January!B68, Independent_Contractor_Visits,  'Physician Types'!$D$81) + SUMIFS(Physician_Minutes_January,Physician_Minutes_Practice,January!B68, Independent_Contractor_Minutes, 'Physician Types'!$D$81)/INDEX(Physician_Type_Visit_Minutes,MATCH(January!B68,Physician_Type_Practice,0))</f>
        <v>0</v>
      </c>
      <c r="I68" s="43">
        <f t="shared" si="6"/>
        <v>0</v>
      </c>
      <c r="J68" s="10">
        <f>E68*'Physician Types'!$E$4</f>
        <v>139.34828358171387</v>
      </c>
      <c r="K68" s="10">
        <f t="shared" si="8"/>
        <v>0</v>
      </c>
    </row>
    <row r="69" spans="1:11" x14ac:dyDescent="0.2">
      <c r="A69" s="158">
        <v>2</v>
      </c>
      <c r="B69" s="107" t="s">
        <v>43</v>
      </c>
      <c r="C69" s="5">
        <f>SUMIFS(Physician_Visit_January,Physician_Visit_Practice,January!B69,Physician_Visit_Hospitalists, "&lt;&gt;"&amp;'Physician Types'!$D$81)+SUMIFS(Physician_Visit_January,Physician_Visit_Practice,January!B69,Physician_Visit_Hospitalists,'Physician Types'!$D$81)*INDEX(Physician_Type_Hospitalists_Visit_Minutes,MATCH(January!B69,Physician_Type_Practice,0))/INDEX(Physician_Type_Visit_Minutes,MATCH(January!B69,Physician_Type_Practice,0)) +SUMIF(Physician_Minutes_Practice,January!B69,Physician_Minutes_January)/INDEX(Physician_Type_Visit_Minutes,MATCH(January!B69,Physician_Type_Practice,0))</f>
        <v>0</v>
      </c>
      <c r="D69" s="43">
        <f t="shared" si="5"/>
        <v>0</v>
      </c>
      <c r="E69" s="17">
        <f>INDEX(Physician_Type_Bed_Rate,MATCH(January!B69,Physician_Type_Practice,0))*'Hospital Input Page'!$C$4</f>
        <v>2539.1052792690443</v>
      </c>
      <c r="F69" s="9">
        <f t="shared" si="7"/>
        <v>0</v>
      </c>
      <c r="H69" s="5">
        <f t="array" ref="H69">SUMIFS(Physician_Visit_January, Physician_Visit_Practice, January!B69, Independent_Contractor_Visits,  'Physician Types'!$D$81) + SUMIFS(Physician_Minutes_January,Physician_Minutes_Practice,January!B69, Independent_Contractor_Minutes, 'Physician Types'!$D$81)/INDEX(Physician_Type_Visit_Minutes,MATCH(January!B69,Physician_Type_Practice,0))</f>
        <v>0</v>
      </c>
      <c r="I69" s="43">
        <f t="shared" si="6"/>
        <v>0</v>
      </c>
      <c r="J69" s="10">
        <f>E69*'Physician Types'!$E$4</f>
        <v>76.173158378071321</v>
      </c>
      <c r="K69" s="10">
        <f t="shared" si="8"/>
        <v>0</v>
      </c>
    </row>
    <row r="70" spans="1:11" x14ac:dyDescent="0.2">
      <c r="A70" s="158">
        <v>2</v>
      </c>
      <c r="B70" s="107" t="s">
        <v>44</v>
      </c>
      <c r="C70" s="5">
        <f>SUMIFS(Physician_Visit_January,Physician_Visit_Practice,January!B70,Physician_Visit_Hospitalists, "&lt;&gt;"&amp;'Physician Types'!$D$81)+SUMIFS(Physician_Visit_January,Physician_Visit_Practice,January!B70,Physician_Visit_Hospitalists,'Physician Types'!$D$81)*INDEX(Physician_Type_Hospitalists_Visit_Minutes,MATCH(January!B70,Physician_Type_Practice,0))/INDEX(Physician_Type_Visit_Minutes,MATCH(January!B70,Physician_Type_Practice,0)) +SUMIF(Physician_Minutes_Practice,January!B70,Physician_Minutes_January)/INDEX(Physician_Type_Visit_Minutes,MATCH(January!B70,Physician_Type_Practice,0))</f>
        <v>0</v>
      </c>
      <c r="D70" s="43">
        <f t="shared" si="5"/>
        <v>0</v>
      </c>
      <c r="E70" s="17">
        <f>INDEX(Physician_Type_Bed_Rate,MATCH(January!B70,Physician_Type_Practice,0))*'Hospital Input Page'!$C$4</f>
        <v>1619.8750052216039</v>
      </c>
      <c r="F70" s="9">
        <f t="shared" si="7"/>
        <v>0</v>
      </c>
      <c r="H70" s="5">
        <f t="array" ref="H70">SUMIFS(Physician_Visit_January, Physician_Visit_Practice, January!B70, Independent_Contractor_Visits,  'Physician Types'!$D$81) + SUMIFS(Physician_Minutes_January,Physician_Minutes_Practice,January!B70, Independent_Contractor_Minutes, 'Physician Types'!$D$81)/INDEX(Physician_Type_Visit_Minutes,MATCH(January!B70,Physician_Type_Practice,0))</f>
        <v>0</v>
      </c>
      <c r="I70" s="43">
        <f t="shared" si="6"/>
        <v>0</v>
      </c>
      <c r="J70" s="10">
        <f>E70*'Physician Types'!$E$4</f>
        <v>48.596250156648118</v>
      </c>
      <c r="K70" s="10">
        <f t="shared" si="8"/>
        <v>0</v>
      </c>
    </row>
    <row r="71" spans="1:11" x14ac:dyDescent="0.2">
      <c r="A71" s="158">
        <v>2</v>
      </c>
      <c r="B71" s="161" t="s">
        <v>154</v>
      </c>
      <c r="C71" s="5">
        <f>SUMIFS(Physician_Visit_January,Physician_Visit_Practice,January!B71,Physician_Visit_Hospitalists, "&lt;&gt;"&amp;'Physician Types'!$D$81)+SUMIFS(Physician_Visit_January,Physician_Visit_Practice,January!B71,Physician_Visit_Hospitalists,'Physician Types'!$D$81)*INDEX(Physician_Type_Hospitalists_Visit_Minutes,MATCH(January!B71,Physician_Type_Practice,0))/INDEX(Physician_Type_Visit_Minutes,MATCH(January!B71,Physician_Type_Practice,0)) +SUMIF(Physician_Minutes_Practice,January!B71,Physician_Minutes_January)/INDEX(Physician_Type_Visit_Minutes,MATCH(January!B71,Physician_Type_Practice,0))</f>
        <v>0</v>
      </c>
      <c r="D71" s="43">
        <f t="shared" si="5"/>
        <v>0</v>
      </c>
      <c r="E71" s="17">
        <f>INDEX(Physician_Type_Bed_Rate,MATCH(January!B71,Physician_Type_Practice,0))*'Hospital Input Page'!$C$4</f>
        <v>1951.6566327971132</v>
      </c>
      <c r="F71" s="9">
        <f t="shared" si="7"/>
        <v>0</v>
      </c>
      <c r="H71" s="5">
        <f t="array" ref="H71">SUMIFS(Physician_Visit_January, Physician_Visit_Practice, January!B71, Independent_Contractor_Visits,  'Physician Types'!$D$81) + SUMIFS(Physician_Minutes_January,Physician_Minutes_Practice,January!B71, Independent_Contractor_Minutes, 'Physician Types'!$D$81)/INDEX(Physician_Type_Visit_Minutes,MATCH(January!B71,Physician_Type_Practice,0))</f>
        <v>0</v>
      </c>
      <c r="I71" s="43">
        <f t="shared" si="6"/>
        <v>0</v>
      </c>
      <c r="J71" s="10">
        <f>E71*'Physician Types'!$E$4</f>
        <v>58.549698983913395</v>
      </c>
      <c r="K71" s="10">
        <f t="shared" si="8"/>
        <v>0</v>
      </c>
    </row>
    <row r="72" spans="1:11" x14ac:dyDescent="0.2">
      <c r="A72" s="158">
        <v>4</v>
      </c>
      <c r="B72" s="102" t="s">
        <v>62</v>
      </c>
      <c r="C72" s="5">
        <f>SUMIFS(Physician_Visit_January,Physician_Visit_Practice,January!B72,Physician_Visit_Hospitalists, "&lt;&gt;"&amp;'Physician Types'!$D$81)+SUMIFS(Physician_Visit_January,Physician_Visit_Practice,January!B72,Physician_Visit_Hospitalists,'Physician Types'!$D$81)*INDEX(Physician_Type_Hospitalists_Visit_Minutes,MATCH(January!B72,Physician_Type_Practice,0))/INDEX(Physician_Type_Visit_Minutes,MATCH(January!B72,Physician_Type_Practice,0)) +SUMIF(Physician_Minutes_Practice,January!B72,Physician_Minutes_January)/INDEX(Physician_Type_Visit_Minutes,MATCH(January!B72,Physician_Type_Practice,0))</f>
        <v>0</v>
      </c>
      <c r="D72" s="43">
        <f t="shared" si="5"/>
        <v>0</v>
      </c>
      <c r="E72" s="17">
        <f>INDEX(Physician_Type_Bed_Rate,MATCH(January!B72,Physician_Type_Practice,0))*'Hospital Input Page'!$C$4</f>
        <v>2529.3469961050587</v>
      </c>
      <c r="F72" s="9">
        <f t="shared" si="7"/>
        <v>0</v>
      </c>
      <c r="H72" s="5">
        <f t="array" ref="H72">SUMIFS(Physician_Visit_January, Physician_Visit_Practice, January!B72, Independent_Contractor_Visits,  'Physician Types'!$D$81) + SUMIFS(Physician_Minutes_January,Physician_Minutes_Practice,January!B72, Independent_Contractor_Minutes, 'Physician Types'!$D$81)/INDEX(Physician_Type_Visit_Minutes,MATCH(January!B72,Physician_Type_Practice,0))</f>
        <v>0</v>
      </c>
      <c r="I72" s="43">
        <f t="shared" si="6"/>
        <v>0</v>
      </c>
      <c r="J72" s="10">
        <f>E72*'Physician Types'!$E$4</f>
        <v>75.880409883151756</v>
      </c>
      <c r="K72" s="10">
        <f t="shared" si="8"/>
        <v>0</v>
      </c>
    </row>
    <row r="73" spans="1:11" x14ac:dyDescent="0.2">
      <c r="A73" s="158">
        <v>2</v>
      </c>
      <c r="B73" s="107" t="s">
        <v>45</v>
      </c>
      <c r="C73" s="5">
        <f>SUMIFS(Physician_Visit_January,Physician_Visit_Practice,January!B73,Physician_Visit_Hospitalists, "&lt;&gt;"&amp;'Physician Types'!$D$81)+SUMIFS(Physician_Visit_January,Physician_Visit_Practice,January!B73,Physician_Visit_Hospitalists,'Physician Types'!$D$81)*INDEX(Physician_Type_Hospitalists_Visit_Minutes,MATCH(January!B73,Physician_Type_Practice,0))/INDEX(Physician_Type_Visit_Minutes,MATCH(January!B73,Physician_Type_Practice,0)) +SUMIF(Physician_Minutes_Practice,January!B73,Physician_Minutes_January)/INDEX(Physician_Type_Visit_Minutes,MATCH(January!B73,Physician_Type_Practice,0))</f>
        <v>0</v>
      </c>
      <c r="D73" s="43">
        <f t="shared" si="5"/>
        <v>0</v>
      </c>
      <c r="E73" s="17">
        <f>INDEX(Physician_Type_Bed_Rate,MATCH(January!B73,Physician_Type_Practice,0))*'Hospital Input Page'!$C$4</f>
        <v>4844.0117626024357</v>
      </c>
      <c r="F73" s="9">
        <f t="shared" si="7"/>
        <v>0</v>
      </c>
      <c r="H73" s="5">
        <f t="array" ref="H73">SUMIFS(Physician_Visit_January, Physician_Visit_Practice, January!B73, Independent_Contractor_Visits,  'Physician Types'!$D$81) + SUMIFS(Physician_Minutes_January,Physician_Minutes_Practice,January!B73, Independent_Contractor_Minutes, 'Physician Types'!$D$81)/INDEX(Physician_Type_Visit_Minutes,MATCH(January!B73,Physician_Type_Practice,0))</f>
        <v>0</v>
      </c>
      <c r="I73" s="43">
        <f t="shared" si="6"/>
        <v>0</v>
      </c>
      <c r="J73" s="10">
        <f>E73*'Physician Types'!$E$4</f>
        <v>145.32035287807307</v>
      </c>
      <c r="K73" s="10">
        <f t="shared" si="8"/>
        <v>0</v>
      </c>
    </row>
    <row r="74" spans="1:11" x14ac:dyDescent="0.2">
      <c r="A74" s="158">
        <v>4</v>
      </c>
      <c r="B74" s="107" t="s">
        <v>63</v>
      </c>
      <c r="C74" s="5">
        <f>SUMIFS(Physician_Visit_January,Physician_Visit_Practice,January!B74,Physician_Visit_Hospitalists, "&lt;&gt;"&amp;'Physician Types'!$D$81)+SUMIFS(Physician_Visit_January,Physician_Visit_Practice,January!B74,Physician_Visit_Hospitalists,'Physician Types'!$D$81)*INDEX(Physician_Type_Hospitalists_Visit_Minutes,MATCH(January!B74,Physician_Type_Practice,0))/INDEX(Physician_Type_Visit_Minutes,MATCH(January!B74,Physician_Type_Practice,0)) +SUMIF(Physician_Minutes_Practice,January!B74,Physician_Minutes_January)/INDEX(Physician_Type_Visit_Minutes,MATCH(January!B74,Physician_Type_Practice,0))</f>
        <v>0</v>
      </c>
      <c r="D74" s="43">
        <f t="shared" si="5"/>
        <v>0</v>
      </c>
      <c r="E74" s="17">
        <f>INDEX(Physician_Type_Bed_Rate,MATCH(January!B74,Physician_Type_Practice,0))*'Hospital Input Page'!$C$4</f>
        <v>2539.1052792690443</v>
      </c>
      <c r="F74" s="9">
        <f t="shared" si="7"/>
        <v>0</v>
      </c>
      <c r="H74" s="5">
        <f t="array" ref="H74">SUMIFS(Physician_Visit_January, Physician_Visit_Practice, January!B74, Independent_Contractor_Visits,  'Physician Types'!$D$81) + SUMIFS(Physician_Minutes_January,Physician_Minutes_Practice,January!B74, Independent_Contractor_Minutes, 'Physician Types'!$D$81)/INDEX(Physician_Type_Visit_Minutes,MATCH(January!B74,Physician_Type_Practice,0))</f>
        <v>0</v>
      </c>
      <c r="I74" s="43">
        <f t="shared" si="6"/>
        <v>0</v>
      </c>
      <c r="J74" s="10">
        <f>E74*'Physician Types'!$E$4</f>
        <v>76.173158378071321</v>
      </c>
      <c r="K74" s="10">
        <f t="shared" si="8"/>
        <v>0</v>
      </c>
    </row>
    <row r="75" spans="1:11" x14ac:dyDescent="0.2">
      <c r="A75" s="158">
        <v>2</v>
      </c>
      <c r="B75" s="107" t="s">
        <v>46</v>
      </c>
      <c r="C75" s="5">
        <f>SUMIFS(Physician_Visit_January,Physician_Visit_Practice,January!B75,Physician_Visit_Hospitalists, "&lt;&gt;"&amp;'Physician Types'!$D$81)+SUMIFS(Physician_Visit_January,Physician_Visit_Practice,January!B75,Physician_Visit_Hospitalists,'Physician Types'!$D$81)*INDEX(Physician_Type_Hospitalists_Visit_Minutes,MATCH(January!B75,Physician_Type_Practice,0))/INDEX(Physician_Type_Visit_Minutes,MATCH(January!B75,Physician_Type_Practice,0)) +SUMIF(Physician_Minutes_Practice,January!B75,Physician_Minutes_January)/INDEX(Physician_Type_Visit_Minutes,MATCH(January!B75,Physician_Type_Practice,0))</f>
        <v>0</v>
      </c>
      <c r="D75" s="43">
        <f t="shared" si="5"/>
        <v>0</v>
      </c>
      <c r="E75" s="17">
        <f>INDEX(Physician_Type_Bed_Rate,MATCH(January!B75,Physician_Type_Practice,0))*'Hospital Input Page'!$C$4</f>
        <v>1619.8750052216039</v>
      </c>
      <c r="F75" s="9">
        <f t="shared" si="7"/>
        <v>0</v>
      </c>
      <c r="H75" s="5">
        <f t="array" ref="H75">SUMIFS(Physician_Visit_January, Physician_Visit_Practice, January!B75, Independent_Contractor_Visits,  'Physician Types'!$D$81) + SUMIFS(Physician_Minutes_January,Physician_Minutes_Practice,January!B75, Independent_Contractor_Minutes, 'Physician Types'!$D$81)/INDEX(Physician_Type_Visit_Minutes,MATCH(January!B75,Physician_Type_Practice,0))</f>
        <v>0</v>
      </c>
      <c r="I75" s="43">
        <f t="shared" si="6"/>
        <v>0</v>
      </c>
      <c r="J75" s="10">
        <f>E75*'Physician Types'!$E$4</f>
        <v>48.596250156648118</v>
      </c>
      <c r="K75" s="10">
        <f t="shared" si="8"/>
        <v>0</v>
      </c>
    </row>
    <row r="76" spans="1:11" x14ac:dyDescent="0.2">
      <c r="A76" s="158">
        <v>3</v>
      </c>
      <c r="B76" s="102" t="s">
        <v>54</v>
      </c>
      <c r="C76" s="5">
        <f>SUMIFS(Physician_Visit_January,Physician_Visit_Practice,January!B76,Physician_Visit_Hospitalists, "&lt;&gt;"&amp;'Physician Types'!$D$81)+SUMIFS(Physician_Visit_January,Physician_Visit_Practice,January!B76,Physician_Visit_Hospitalists,'Physician Types'!$D$81)*INDEX(Physician_Type_Hospitalists_Visit_Minutes,MATCH(January!B76,Physician_Type_Practice,0))/INDEX(Physician_Type_Visit_Minutes,MATCH(January!B76,Physician_Type_Practice,0)) +SUMIF(Physician_Minutes_Practice,January!B76,Physician_Minutes_January)/INDEX(Physician_Type_Visit_Minutes,MATCH(January!B76,Physician_Type_Practice,0))</f>
        <v>0</v>
      </c>
      <c r="D76" s="43">
        <f t="shared" si="5"/>
        <v>0</v>
      </c>
      <c r="E76" s="17">
        <f>INDEX(Physician_Type_Bed_Rate,MATCH(January!B76,Physician_Type_Practice,0))*'Hospital Input Page'!$C$4</f>
        <v>2699.1411231584075</v>
      </c>
      <c r="F76" s="9">
        <f t="shared" si="7"/>
        <v>0</v>
      </c>
      <c r="H76" s="5">
        <f t="array" ref="H76">SUMIFS(Physician_Visit_January, Physician_Visit_Practice, January!B76, Independent_Contractor_Visits,  'Physician Types'!$D$81) + SUMIFS(Physician_Minutes_January,Physician_Minutes_Practice,January!B76, Independent_Contractor_Minutes, 'Physician Types'!$D$81)/INDEX(Physician_Type_Visit_Minutes,MATCH(January!B76,Physician_Type_Practice,0))</f>
        <v>0</v>
      </c>
      <c r="I76" s="43">
        <f t="shared" si="6"/>
        <v>0</v>
      </c>
      <c r="J76" s="10">
        <f>E76*'Physician Types'!$E$4</f>
        <v>80.974233694752215</v>
      </c>
      <c r="K76" s="10">
        <f t="shared" si="8"/>
        <v>0</v>
      </c>
    </row>
    <row r="77" spans="1:11" x14ac:dyDescent="0.2">
      <c r="A77" s="158">
        <v>3</v>
      </c>
      <c r="B77" s="102" t="s">
        <v>55</v>
      </c>
      <c r="C77" s="5">
        <f>SUMIFS(Physician_Visit_January,Physician_Visit_Practice,January!B77,Physician_Visit_Hospitalists, "&lt;&gt;"&amp;'Physician Types'!$D$81)+SUMIFS(Physician_Visit_January,Physician_Visit_Practice,January!B77,Physician_Visit_Hospitalists,'Physician Types'!$D$81)*INDEX(Physician_Type_Hospitalists_Visit_Minutes,MATCH(January!B77,Physician_Type_Practice,0))/INDEX(Physician_Type_Visit_Minutes,MATCH(January!B77,Physician_Type_Practice,0)) +SUMIF(Physician_Minutes_Practice,January!B77,Physician_Minutes_January)/INDEX(Physician_Type_Visit_Minutes,MATCH(January!B77,Physician_Type_Practice,0))</f>
        <v>0</v>
      </c>
      <c r="D77" s="43">
        <f t="shared" si="5"/>
        <v>0</v>
      </c>
      <c r="E77" s="17">
        <f>INDEX(Physician_Type_Bed_Rate,MATCH(January!B77,Physician_Type_Practice,0))*'Hospital Input Page'!$C$4</f>
        <v>2222.9369047559121</v>
      </c>
      <c r="F77" s="9">
        <f t="shared" si="7"/>
        <v>0</v>
      </c>
      <c r="H77" s="5">
        <f t="array" ref="H77">SUMIFS(Physician_Visit_January, Physician_Visit_Practice, January!B77, Independent_Contractor_Visits,  'Physician Types'!$D$81) + SUMIFS(Physician_Minutes_January,Physician_Minutes_Practice,January!B77, Independent_Contractor_Minutes, 'Physician Types'!$D$81)/INDEX(Physician_Type_Visit_Minutes,MATCH(January!B77,Physician_Type_Practice,0))</f>
        <v>0</v>
      </c>
      <c r="I77" s="43">
        <f t="shared" si="6"/>
        <v>0</v>
      </c>
      <c r="J77" s="10">
        <f>E77*'Physician Types'!$E$4</f>
        <v>66.688107142677367</v>
      </c>
      <c r="K77" s="10">
        <f t="shared" si="8"/>
        <v>0</v>
      </c>
    </row>
    <row r="78" spans="1:11" x14ac:dyDescent="0.2">
      <c r="A78" s="158">
        <v>8</v>
      </c>
      <c r="B78" s="102" t="s">
        <v>77</v>
      </c>
      <c r="C78" s="5">
        <f>SUMIFS(Physician_Visit_January,Physician_Visit_Practice,January!B78,Physician_Visit_Hospitalists, "&lt;&gt;"&amp;'Physician Types'!$D$81)+SUMIFS(Physician_Visit_January,Physician_Visit_Practice,January!B78,Physician_Visit_Hospitalists,'Physician Types'!$D$81)*INDEX(Physician_Type_Hospitalists_Visit_Minutes,MATCH(January!B78,Physician_Type_Practice,0))/INDEX(Physician_Type_Visit_Minutes,MATCH(January!B78,Physician_Type_Practice,0)) +SUMIF(Physician_Minutes_Practice,January!B78,Physician_Minutes_January)/INDEX(Physician_Type_Visit_Minutes,MATCH(January!B78,Physician_Type_Practice,0))</f>
        <v>0</v>
      </c>
      <c r="D78" s="43">
        <f t="shared" ref="D78:D110" si="9">C78*INDEX(Physician_Type_Visit_Minutes,MATCH(B78,Physician_Type_Practice,0))/INDEX(Physician_Type_FTE_Minutes,MATCH(B78,Physician_Type_Practice,0))</f>
        <v>0</v>
      </c>
      <c r="E78" s="17">
        <f>INDEX(Physician_Type_Bed_Rate,MATCH(January!B78,Physician_Type_Practice,0))*'Hospital Input Page'!$C$4</f>
        <v>11024.908318670894</v>
      </c>
      <c r="F78" s="9">
        <f t="shared" si="7"/>
        <v>0</v>
      </c>
      <c r="H78" s="5">
        <f t="array" ref="H78">SUMIFS(Physician_Visit_January, Physician_Visit_Practice, January!B78, Independent_Contractor_Visits,  'Physician Types'!$D$81) + SUMIFS(Physician_Minutes_January,Physician_Minutes_Practice,January!B78, Independent_Contractor_Minutes, 'Physician Types'!$D$81)/INDEX(Physician_Type_Visit_Minutes,MATCH(January!B78,Physician_Type_Practice,0))</f>
        <v>0</v>
      </c>
      <c r="I78" s="43">
        <f t="shared" ref="I78:I110" si="10">H78*INDEX(Physician_Type_Visit_Minutes,MATCH(B78,Physician_Type_Practice,0))/INDEX(Physician_Type_FTE_Minutes,MATCH(B78,Physician_Type_Practice,0))</f>
        <v>0</v>
      </c>
      <c r="J78" s="10">
        <f>E78*'Physician Types'!$E$4</f>
        <v>330.74724956012682</v>
      </c>
      <c r="K78" s="10">
        <f t="shared" si="8"/>
        <v>0</v>
      </c>
    </row>
    <row r="79" spans="1:11" x14ac:dyDescent="0.2">
      <c r="A79" s="158"/>
      <c r="B79" s="102" t="s">
        <v>79</v>
      </c>
      <c r="C79" s="5">
        <f>SUMIFS(Physician_Visit_January,Physician_Visit_Practice,January!B79,Physician_Visit_Hospitalists, "&lt;&gt;"&amp;'Physician Types'!$D$81)+SUMIFS(Physician_Visit_January,Physician_Visit_Practice,January!B79,Physician_Visit_Hospitalists,'Physician Types'!$D$81)*INDEX(Physician_Type_Hospitalists_Visit_Minutes,MATCH(January!B79,Physician_Type_Practice,0))/INDEX(Physician_Type_Visit_Minutes,MATCH(January!B79,Physician_Type_Practice,0)) +SUMIF(Physician_Minutes_Practice,January!B79,Physician_Minutes_January)/INDEX(Physician_Type_Visit_Minutes,MATCH(January!B79,Physician_Type_Practice,0))</f>
        <v>0</v>
      </c>
      <c r="D79" s="43">
        <f t="shared" si="9"/>
        <v>0</v>
      </c>
      <c r="E79" s="17">
        <f>INDEX(Physician_Type_Bed_Rate,MATCH(January!B79,Physician_Type_Practice,0))*'Hospital Input Page'!$C$4</f>
        <v>858.72891843072989</v>
      </c>
      <c r="F79" s="9">
        <f t="shared" si="7"/>
        <v>0</v>
      </c>
      <c r="H79" s="5">
        <f t="array" ref="H79">SUMIFS(Physician_Visit_January, Physician_Visit_Practice, January!B79, Independent_Contractor_Visits,  'Physician Types'!$D$81) + SUMIFS(Physician_Minutes_January,Physician_Minutes_Practice,January!B79, Independent_Contractor_Minutes, 'Physician Types'!$D$81)/INDEX(Physician_Type_Visit_Minutes,MATCH(January!B79,Physician_Type_Practice,0))</f>
        <v>0</v>
      </c>
      <c r="I79" s="43">
        <f t="shared" si="10"/>
        <v>0</v>
      </c>
      <c r="J79" s="10">
        <f>E79*'Physician Types'!$E$4</f>
        <v>25.761867552921895</v>
      </c>
      <c r="K79" s="10">
        <f t="shared" si="8"/>
        <v>0</v>
      </c>
    </row>
    <row r="80" spans="1:11" x14ac:dyDescent="0.2">
      <c r="A80" s="158">
        <v>5</v>
      </c>
      <c r="B80" s="102" t="s">
        <v>67</v>
      </c>
      <c r="C80" s="5">
        <f>SUMIFS(Physician_Visit_January,Physician_Visit_Practice,January!B80,Physician_Visit_Hospitalists, "&lt;&gt;"&amp;'Physician Types'!$D$81)+SUMIFS(Physician_Visit_January,Physician_Visit_Practice,January!B80,Physician_Visit_Hospitalists,'Physician Types'!$D$81)*INDEX(Physician_Type_Hospitalists_Visit_Minutes,MATCH(January!B80,Physician_Type_Practice,0))/INDEX(Physician_Type_Visit_Minutes,MATCH(January!B80,Physician_Type_Practice,0)) +SUMIF(Physician_Minutes_Practice,January!B80,Physician_Minutes_January)/INDEX(Physician_Type_Visit_Minutes,MATCH(January!B80,Physician_Type_Practice,0))</f>
        <v>0</v>
      </c>
      <c r="D80" s="43">
        <f t="shared" si="9"/>
        <v>0</v>
      </c>
      <c r="E80" s="17">
        <f>INDEX(Physician_Type_Bed_Rate,MATCH(January!B80,Physician_Type_Practice,0))*'Hospital Input Page'!$C$4</f>
        <v>1955.5599460627077</v>
      </c>
      <c r="F80" s="9">
        <f t="shared" si="7"/>
        <v>0</v>
      </c>
      <c r="H80" s="5">
        <f t="array" ref="H80">SUMIFS(Physician_Visit_January, Physician_Visit_Practice, January!B80, Independent_Contractor_Visits,  'Physician Types'!$D$81) + SUMIFS(Physician_Minutes_January,Physician_Minutes_Practice,January!B80, Independent_Contractor_Minutes, 'Physician Types'!$D$81)/INDEX(Physician_Type_Visit_Minutes,MATCH(January!B80,Physician_Type_Practice,0))</f>
        <v>0</v>
      </c>
      <c r="I80" s="43">
        <f t="shared" si="10"/>
        <v>0</v>
      </c>
      <c r="J80" s="10">
        <f>E80*'Physician Types'!$E$4</f>
        <v>58.666798381881229</v>
      </c>
      <c r="K80" s="10">
        <f t="shared" si="8"/>
        <v>0</v>
      </c>
    </row>
    <row r="81" spans="1:11" x14ac:dyDescent="0.2">
      <c r="A81" s="158"/>
      <c r="B81" s="102" t="s">
        <v>80</v>
      </c>
      <c r="C81" s="5">
        <f>SUMIFS(Physician_Visit_January,Physician_Visit_Practice,January!B81,Physician_Visit_Hospitalists, "&lt;&gt;"&amp;'Physician Types'!$D$81)+SUMIFS(Physician_Visit_January,Physician_Visit_Practice,January!B81,Physician_Visit_Hospitalists,'Physician Types'!$D$81)*INDEX(Physician_Type_Hospitalists_Visit_Minutes,MATCH(January!B81,Physician_Type_Practice,0))/INDEX(Physician_Type_Visit_Minutes,MATCH(January!B81,Physician_Type_Practice,0)) +SUMIF(Physician_Minutes_Practice,January!B81,Physician_Minutes_January)/INDEX(Physician_Type_Visit_Minutes,MATCH(January!B81,Physician_Type_Practice,0))</f>
        <v>0</v>
      </c>
      <c r="D81" s="43">
        <f t="shared" si="9"/>
        <v>0</v>
      </c>
      <c r="E81" s="17">
        <f>INDEX(Physician_Type_Bed_Rate,MATCH(January!B81,Physician_Type_Practice,0))*'Hospital Input Page'!$C$4</f>
        <v>493.76912809766964</v>
      </c>
      <c r="F81" s="9">
        <f t="shared" si="7"/>
        <v>0</v>
      </c>
      <c r="H81" s="5">
        <f t="array" ref="H81">SUMIFS(Physician_Visit_January, Physician_Visit_Practice, January!B81, Independent_Contractor_Visits,  'Physician Types'!$D$81) + SUMIFS(Physician_Minutes_January,Physician_Minutes_Practice,January!B81, Independent_Contractor_Minutes, 'Physician Types'!$D$81)/INDEX(Physician_Type_Visit_Minutes,MATCH(January!B81,Physician_Type_Practice,0))</f>
        <v>0</v>
      </c>
      <c r="I81" s="43">
        <f t="shared" si="10"/>
        <v>0</v>
      </c>
      <c r="J81" s="10">
        <f>E81*'Physician Types'!$E$4</f>
        <v>14.813073842930088</v>
      </c>
      <c r="K81" s="10">
        <f t="shared" si="8"/>
        <v>0</v>
      </c>
    </row>
    <row r="82" spans="1:11" x14ac:dyDescent="0.2">
      <c r="A82" s="158">
        <v>8</v>
      </c>
      <c r="B82" s="128" t="s">
        <v>139</v>
      </c>
      <c r="C82" s="5">
        <f>SUMIFS(Physician_Visit_January,Physician_Visit_Practice,January!B82,Physician_Visit_Hospitalists, "&lt;&gt;"&amp;'Physician Types'!$D$81)+SUMIFS(Physician_Visit_January,Physician_Visit_Practice,January!B82,Physician_Visit_Hospitalists,'Physician Types'!$D$81)*INDEX(Physician_Type_Hospitalists_Visit_Minutes,MATCH(January!B82,Physician_Type_Practice,0))/INDEX(Physician_Type_Visit_Minutes,MATCH(January!B82,Physician_Type_Practice,0)) +SUMIF(Physician_Minutes_Practice,January!B82,Physician_Minutes_January)/INDEX(Physician_Type_Visit_Minutes,MATCH(January!B82,Physician_Type_Practice,0))</f>
        <v>0</v>
      </c>
      <c r="D82" s="43">
        <f t="shared" si="9"/>
        <v>0</v>
      </c>
      <c r="E82" s="17">
        <f>INDEX(Physician_Type_Bed_Rate,MATCH(January!B82,Physician_Type_Practice,0))*'Hospital Input Page'!$C$4</f>
        <v>8509.2229189954141</v>
      </c>
      <c r="F82" s="9">
        <f t="shared" si="7"/>
        <v>0</v>
      </c>
      <c r="H82" s="5">
        <f t="array" ref="H82">SUMIFS(Physician_Visit_January, Physician_Visit_Practice, January!B82, Independent_Contractor_Visits,  'Physician Types'!$D$81) + SUMIFS(Physician_Minutes_January,Physician_Minutes_Practice,January!B82, Independent_Contractor_Minutes, 'Physician Types'!$D$81)/INDEX(Physician_Type_Visit_Minutes,MATCH(January!B82,Physician_Type_Practice,0))</f>
        <v>0</v>
      </c>
      <c r="I82" s="43">
        <f t="shared" si="10"/>
        <v>0</v>
      </c>
      <c r="J82" s="10">
        <f>E82*'Physician Types'!$E$4</f>
        <v>255.27668756986242</v>
      </c>
      <c r="K82" s="10">
        <f t="shared" si="8"/>
        <v>0</v>
      </c>
    </row>
    <row r="83" spans="1:11" x14ac:dyDescent="0.2">
      <c r="A83" s="158">
        <v>8</v>
      </c>
      <c r="B83" s="102" t="s">
        <v>78</v>
      </c>
      <c r="C83" s="5">
        <f>SUMIFS(Physician_Visit_January,Physician_Visit_Practice,January!B83,Physician_Visit_Hospitalists, "&lt;&gt;"&amp;'Physician Types'!$D$81)+SUMIFS(Physician_Visit_January,Physician_Visit_Practice,January!B83,Physician_Visit_Hospitalists,'Physician Types'!$D$81)*INDEX(Physician_Type_Hospitalists_Visit_Minutes,MATCH(January!B83,Physician_Type_Practice,0))/INDEX(Physician_Type_Visit_Minutes,MATCH(January!B83,Physician_Type_Practice,0)) +SUMIF(Physician_Minutes_Practice,January!B83,Physician_Minutes_January)/INDEX(Physician_Type_Visit_Minutes,MATCH(January!B83,Physician_Type_Practice,0))</f>
        <v>0</v>
      </c>
      <c r="D83" s="43">
        <f t="shared" si="9"/>
        <v>0</v>
      </c>
      <c r="E83" s="17">
        <f>INDEX(Physician_Type_Bed_Rate,MATCH(January!B83,Physician_Type_Practice,0))*'Hospital Input Page'!$C$4</f>
        <v>8509.2229189954141</v>
      </c>
      <c r="F83" s="9">
        <f t="shared" si="7"/>
        <v>0</v>
      </c>
      <c r="H83" s="5">
        <f t="array" ref="H83">SUMIFS(Physician_Visit_January, Physician_Visit_Practice, January!B83, Independent_Contractor_Visits,  'Physician Types'!$D$81) + SUMIFS(Physician_Minutes_January,Physician_Minutes_Practice,January!B83, Independent_Contractor_Minutes, 'Physician Types'!$D$81)/INDEX(Physician_Type_Visit_Minutes,MATCH(January!B83,Physician_Type_Practice,0))</f>
        <v>0</v>
      </c>
      <c r="I83" s="43">
        <f t="shared" si="10"/>
        <v>0</v>
      </c>
      <c r="J83" s="10">
        <f>E83*'Physician Types'!$E$4</f>
        <v>255.27668756986242</v>
      </c>
      <c r="K83" s="10">
        <f t="shared" si="8"/>
        <v>0</v>
      </c>
    </row>
    <row r="84" spans="1:11" x14ac:dyDescent="0.2">
      <c r="A84" s="158">
        <v>2</v>
      </c>
      <c r="B84" s="107" t="s">
        <v>47</v>
      </c>
      <c r="C84" s="5">
        <f>SUMIFS(Physician_Visit_January,Physician_Visit_Practice,January!B84,Physician_Visit_Hospitalists, "&lt;&gt;"&amp;'Physician Types'!$D$81)+SUMIFS(Physician_Visit_January,Physician_Visit_Practice,January!B84,Physician_Visit_Hospitalists,'Physician Types'!$D$81)*INDEX(Physician_Type_Hospitalists_Visit_Minutes,MATCH(January!B84,Physician_Type_Practice,0))/INDEX(Physician_Type_Visit_Minutes,MATCH(January!B84,Physician_Type_Practice,0)) +SUMIF(Physician_Minutes_Practice,January!B84,Physician_Minutes_January)/INDEX(Physician_Type_Visit_Minutes,MATCH(January!B84,Physician_Type_Practice,0))</f>
        <v>0</v>
      </c>
      <c r="D84" s="43">
        <f t="shared" si="9"/>
        <v>0</v>
      </c>
      <c r="E84" s="17">
        <f>INDEX(Physician_Type_Bed_Rate,MATCH(January!B84,Physician_Type_Practice,0))*'Hospital Input Page'!$C$4</f>
        <v>1727.2161200254454</v>
      </c>
      <c r="F84" s="9">
        <f t="shared" si="7"/>
        <v>0</v>
      </c>
      <c r="H84" s="5">
        <f t="array" ref="H84">SUMIFS(Physician_Visit_January, Physician_Visit_Practice, January!B84, Independent_Contractor_Visits,  'Physician Types'!$D$81) + SUMIFS(Physician_Minutes_January,Physician_Minutes_Practice,January!B84, Independent_Contractor_Minutes, 'Physician Types'!$D$81)/INDEX(Physician_Type_Visit_Minutes,MATCH(January!B84,Physician_Type_Practice,0))</f>
        <v>0</v>
      </c>
      <c r="I84" s="43">
        <f t="shared" si="10"/>
        <v>0</v>
      </c>
      <c r="J84" s="10">
        <f>E84*'Physician Types'!$E$4</f>
        <v>51.816483600763362</v>
      </c>
      <c r="K84" s="10">
        <f t="shared" si="8"/>
        <v>0</v>
      </c>
    </row>
    <row r="85" spans="1:11" x14ac:dyDescent="0.2">
      <c r="A85" s="158">
        <v>3</v>
      </c>
      <c r="B85" s="102" t="s">
        <v>56</v>
      </c>
      <c r="C85" s="5">
        <f>SUMIFS(Physician_Visit_January,Physician_Visit_Practice,January!B85,Physician_Visit_Hospitalists, "&lt;&gt;"&amp;'Physician Types'!$D$81)+SUMIFS(Physician_Visit_January,Physician_Visit_Practice,January!B85,Physician_Visit_Hospitalists,'Physician Types'!$D$81)*INDEX(Physician_Type_Hospitalists_Visit_Minutes,MATCH(January!B85,Physician_Type_Practice,0))/INDEX(Physician_Type_Visit_Minutes,MATCH(January!B85,Physician_Type_Practice,0)) +SUMIF(Physician_Minutes_Practice,January!B85,Physician_Minutes_January)/INDEX(Physician_Type_Visit_Minutes,MATCH(January!B85,Physician_Type_Practice,0))</f>
        <v>0</v>
      </c>
      <c r="D85" s="43">
        <f t="shared" si="9"/>
        <v>0</v>
      </c>
      <c r="E85" s="17">
        <f>INDEX(Physician_Type_Bed_Rate,MATCH(January!B85,Physician_Type_Practice,0))*'Hospital Input Page'!$C$4</f>
        <v>1842.3638613604746</v>
      </c>
      <c r="F85" s="9">
        <f t="shared" si="7"/>
        <v>0</v>
      </c>
      <c r="H85" s="5">
        <f t="array" ref="H85">SUMIFS(Physician_Visit_January, Physician_Visit_Practice, January!B85, Independent_Contractor_Visits,  'Physician Types'!$D$81) + SUMIFS(Physician_Minutes_January,Physician_Minutes_Practice,January!B85, Independent_Contractor_Minutes, 'Physician Types'!$D$81)/INDEX(Physician_Type_Visit_Minutes,MATCH(January!B85,Physician_Type_Practice,0))</f>
        <v>0</v>
      </c>
      <c r="I85" s="43">
        <f t="shared" si="10"/>
        <v>0</v>
      </c>
      <c r="J85" s="10">
        <f>E85*'Physician Types'!$E$4</f>
        <v>55.27091584081424</v>
      </c>
      <c r="K85" s="10">
        <f t="shared" si="8"/>
        <v>0</v>
      </c>
    </row>
    <row r="86" spans="1:11" x14ac:dyDescent="0.2">
      <c r="A86" s="158">
        <v>3</v>
      </c>
      <c r="B86" s="102" t="s">
        <v>57</v>
      </c>
      <c r="C86" s="5">
        <f>SUMIFS(Physician_Visit_January,Physician_Visit_Practice,January!B86,Physician_Visit_Hospitalists, "&lt;&gt;"&amp;'Physician Types'!$D$81)+SUMIFS(Physician_Visit_January,Physician_Visit_Practice,January!B86,Physician_Visit_Hospitalists,'Physician Types'!$D$81)*INDEX(Physician_Type_Hospitalists_Visit_Minutes,MATCH(January!B86,Physician_Type_Practice,0))/INDEX(Physician_Type_Visit_Minutes,MATCH(January!B86,Physician_Type_Practice,0)) +SUMIF(Physician_Minutes_Practice,January!B86,Physician_Minutes_January)/INDEX(Physician_Type_Visit_Minutes,MATCH(January!B86,Physician_Type_Practice,0))</f>
        <v>0</v>
      </c>
      <c r="D86" s="43">
        <f t="shared" si="9"/>
        <v>0</v>
      </c>
      <c r="E86" s="17">
        <f>INDEX(Physician_Type_Bed_Rate,MATCH(January!B86,Physician_Type_Practice,0))*'Hospital Input Page'!$C$4</f>
        <v>1165.1390097798767</v>
      </c>
      <c r="F86" s="9">
        <f t="shared" si="7"/>
        <v>0</v>
      </c>
      <c r="H86" s="5">
        <f t="array" ref="H86">SUMIFS(Physician_Visit_January, Physician_Visit_Practice, January!B86, Independent_Contractor_Visits,  'Physician Types'!$D$81) + SUMIFS(Physician_Minutes_January,Physician_Minutes_Practice,January!B86, Independent_Contractor_Minutes, 'Physician Types'!$D$81)/INDEX(Physician_Type_Visit_Minutes,MATCH(January!B86,Physician_Type_Practice,0))</f>
        <v>0</v>
      </c>
      <c r="I86" s="43">
        <f t="shared" si="10"/>
        <v>0</v>
      </c>
      <c r="J86" s="10">
        <f>E86*'Physician Types'!$E$4</f>
        <v>34.954170293396302</v>
      </c>
      <c r="K86" s="10">
        <f t="shared" si="8"/>
        <v>0</v>
      </c>
    </row>
    <row r="87" spans="1:11" x14ac:dyDescent="0.2">
      <c r="A87" s="158">
        <v>3</v>
      </c>
      <c r="B87" s="102" t="s">
        <v>58</v>
      </c>
      <c r="C87" s="5">
        <f>SUMIFS(Physician_Visit_January,Physician_Visit_Practice,January!B87,Physician_Visit_Hospitalists, "&lt;&gt;"&amp;'Physician Types'!$D$81)+SUMIFS(Physician_Visit_January,Physician_Visit_Practice,January!B87,Physician_Visit_Hospitalists,'Physician Types'!$D$81)*INDEX(Physician_Type_Hospitalists_Visit_Minutes,MATCH(January!B87,Physician_Type_Practice,0))/INDEX(Physician_Type_Visit_Minutes,MATCH(January!B87,Physician_Type_Practice,0)) +SUMIF(Physician_Minutes_Practice,January!B87,Physician_Minutes_January)/INDEX(Physician_Type_Visit_Minutes,MATCH(January!B87,Physician_Type_Practice,0))</f>
        <v>0</v>
      </c>
      <c r="D87" s="43">
        <f t="shared" si="9"/>
        <v>0</v>
      </c>
      <c r="E87" s="17">
        <f>INDEX(Physician_Type_Bed_Rate,MATCH(January!B87,Physician_Type_Practice,0))*'Hospital Input Page'!$C$4</f>
        <v>2406.3926282388406</v>
      </c>
      <c r="F87" s="9">
        <f t="shared" si="7"/>
        <v>0</v>
      </c>
      <c r="H87" s="5">
        <f t="array" ref="H87">SUMIFS(Physician_Visit_January, Physician_Visit_Practice, January!B87, Independent_Contractor_Visits,  'Physician Types'!$D$81) + SUMIFS(Physician_Minutes_January,Physician_Minutes_Practice,January!B87, Independent_Contractor_Minutes, 'Physician Types'!$D$81)/INDEX(Physician_Type_Visit_Minutes,MATCH(January!B87,Physician_Type_Practice,0))</f>
        <v>0</v>
      </c>
      <c r="I87" s="43">
        <f t="shared" si="10"/>
        <v>0</v>
      </c>
      <c r="J87" s="10">
        <f>E87*'Physician Types'!$E$4</f>
        <v>72.19177884716521</v>
      </c>
      <c r="K87" s="10">
        <f t="shared" si="8"/>
        <v>0</v>
      </c>
    </row>
    <row r="88" spans="1:11" x14ac:dyDescent="0.2">
      <c r="A88" s="158">
        <v>7</v>
      </c>
      <c r="B88" s="102" t="s">
        <v>73</v>
      </c>
      <c r="C88" s="5">
        <f>SUMIFS(Physician_Visit_January,Physician_Visit_Practice,January!B88,Physician_Visit_Hospitalists, "&lt;&gt;"&amp;'Physician Types'!$D$81)+SUMIFS(Physician_Visit_January,Physician_Visit_Practice,January!B88,Physician_Visit_Hospitalists,'Physician Types'!$D$81)*INDEX(Physician_Type_Hospitalists_Visit_Minutes,MATCH(January!B88,Physician_Type_Practice,0))/INDEX(Physician_Type_Visit_Minutes,MATCH(January!B88,Physician_Type_Practice,0)) +SUMIF(Physician_Minutes_Practice,January!B88,Physician_Minutes_January)/INDEX(Physician_Type_Visit_Minutes,MATCH(January!B88,Physician_Type_Practice,0))</f>
        <v>0</v>
      </c>
      <c r="D88" s="43">
        <f t="shared" si="9"/>
        <v>0</v>
      </c>
      <c r="E88" s="17">
        <f>INDEX(Physician_Type_Bed_Rate,MATCH(January!B88,Physician_Type_Practice,0))*'Hospital Input Page'!$C$4</f>
        <v>7172.3381255293916</v>
      </c>
      <c r="F88" s="9">
        <f t="shared" si="7"/>
        <v>0</v>
      </c>
      <c r="H88" s="5">
        <f t="array" ref="H88">SUMIFS(Physician_Visit_January, Physician_Visit_Practice, January!B88, Independent_Contractor_Visits,  'Physician Types'!$D$81) + SUMIFS(Physician_Minutes_January,Physician_Minutes_Practice,January!B88, Independent_Contractor_Minutes, 'Physician Types'!$D$81)/INDEX(Physician_Type_Visit_Minutes,MATCH(January!B88,Physician_Type_Practice,0))</f>
        <v>0</v>
      </c>
      <c r="I88" s="43">
        <f t="shared" si="10"/>
        <v>0</v>
      </c>
      <c r="J88" s="10">
        <f>E88*'Physician Types'!$E$4</f>
        <v>215.17014376588173</v>
      </c>
      <c r="K88" s="10">
        <f t="shared" si="8"/>
        <v>0</v>
      </c>
    </row>
    <row r="89" spans="1:11" x14ac:dyDescent="0.2">
      <c r="A89" s="158">
        <v>7</v>
      </c>
      <c r="B89" s="128" t="s">
        <v>74</v>
      </c>
      <c r="C89" s="5">
        <f>SUMIFS(Physician_Visit_January,Physician_Visit_Practice,January!B89,Physician_Visit_Hospitalists, "&lt;&gt;"&amp;'Physician Types'!$D$81)+SUMIFS(Physician_Visit_January,Physician_Visit_Practice,January!B89,Physician_Visit_Hospitalists,'Physician Types'!$D$81)*INDEX(Physician_Type_Hospitalists_Visit_Minutes,MATCH(January!B89,Physician_Type_Practice,0))/INDEX(Physician_Type_Visit_Minutes,MATCH(January!B89,Physician_Type_Practice,0)) +SUMIF(Physician_Minutes_Practice,January!B89,Physician_Minutes_January)/INDEX(Physician_Type_Visit_Minutes,MATCH(January!B89,Physician_Type_Practice,0))</f>
        <v>0</v>
      </c>
      <c r="D89" s="43">
        <f t="shared" si="9"/>
        <v>0</v>
      </c>
      <c r="E89" s="17">
        <f>INDEX(Physician_Type_Bed_Rate,MATCH(January!B89,Physician_Type_Practice,0))*'Hospital Input Page'!$C$4</f>
        <v>4073.1073926475756</v>
      </c>
      <c r="F89" s="9">
        <f t="shared" si="7"/>
        <v>0</v>
      </c>
      <c r="H89" s="5">
        <f t="array" ref="H89">SUMIFS(Physician_Visit_January, Physician_Visit_Practice, January!B89, Independent_Contractor_Visits,  'Physician Types'!$D$81) + SUMIFS(Physician_Minutes_January,Physician_Minutes_Practice,January!B89, Independent_Contractor_Minutes, 'Physician Types'!$D$81)/INDEX(Physician_Type_Visit_Minutes,MATCH(January!B89,Physician_Type_Practice,0))</f>
        <v>0</v>
      </c>
      <c r="I89" s="43">
        <f t="shared" si="10"/>
        <v>0</v>
      </c>
      <c r="J89" s="10">
        <f>E89*'Physician Types'!$E$4</f>
        <v>122.19322177942726</v>
      </c>
      <c r="K89" s="10">
        <f t="shared" si="8"/>
        <v>0</v>
      </c>
    </row>
    <row r="90" spans="1:11" x14ac:dyDescent="0.2">
      <c r="A90" s="158">
        <v>4</v>
      </c>
      <c r="B90" s="128" t="s">
        <v>146</v>
      </c>
      <c r="C90" s="5">
        <f>SUMIFS(Physician_Visit_January,Physician_Visit_Practice,January!B90,Physician_Visit_Hospitalists, "&lt;&gt;"&amp;'Physician Types'!$D$81)+SUMIFS(Physician_Visit_January,Physician_Visit_Practice,January!B90,Physician_Visit_Hospitalists,'Physician Types'!$D$81)*INDEX(Physician_Type_Hospitalists_Visit_Minutes,MATCH(January!B90,Physician_Type_Practice,0))/INDEX(Physician_Type_Visit_Minutes,MATCH(January!B90,Physician_Type_Practice,0)) +SUMIF(Physician_Minutes_Practice,January!B90,Physician_Minutes_January)/INDEX(Physician_Type_Visit_Minutes,MATCH(January!B90,Physician_Type_Practice,0))</f>
        <v>0</v>
      </c>
      <c r="D90" s="43">
        <f t="shared" si="9"/>
        <v>0</v>
      </c>
      <c r="E90" s="17">
        <f>INDEX(Physician_Type_Bed_Rate,MATCH(January!B90,Physician_Type_Practice,0))*'Hospital Input Page'!$C$4</f>
        <v>2997.7445879763663</v>
      </c>
      <c r="F90" s="9">
        <f t="shared" si="7"/>
        <v>0</v>
      </c>
      <c r="H90" s="5">
        <f t="array" ref="H90">SUMIFS(Physician_Visit_January, Physician_Visit_Practice, January!B90, Independent_Contractor_Visits,  'Physician Types'!$D$81) + SUMIFS(Physician_Minutes_January,Physician_Minutes_Practice,January!B90, Independent_Contractor_Minutes, 'Physician Types'!$D$81)/INDEX(Physician_Type_Visit_Minutes,MATCH(January!B90,Physician_Type_Practice,0))</f>
        <v>0</v>
      </c>
      <c r="I90" s="43">
        <f t="shared" si="10"/>
        <v>0</v>
      </c>
      <c r="J90" s="10">
        <f>E90*'Physician Types'!$E$4</f>
        <v>89.932337639290992</v>
      </c>
      <c r="K90" s="10">
        <f t="shared" si="8"/>
        <v>0</v>
      </c>
    </row>
    <row r="91" spans="1:11" x14ac:dyDescent="0.2">
      <c r="A91" s="158">
        <v>6</v>
      </c>
      <c r="B91" s="128" t="s">
        <v>71</v>
      </c>
      <c r="C91" s="5">
        <f>SUMIFS(Physician_Visit_January,Physician_Visit_Practice,January!B91,Physician_Visit_Hospitalists, "&lt;&gt;"&amp;'Physician Types'!$D$81)+SUMIFS(Physician_Visit_January,Physician_Visit_Practice,January!B91,Physician_Visit_Hospitalists,'Physician Types'!$D$81)*INDEX(Physician_Type_Hospitalists_Visit_Minutes,MATCH(January!B91,Physician_Type_Practice,0))/INDEX(Physician_Type_Visit_Minutes,MATCH(January!B91,Physician_Type_Practice,0)) +SUMIF(Physician_Minutes_Practice,January!B91,Physician_Minutes_January)/INDEX(Physician_Type_Visit_Minutes,MATCH(January!B91,Physician_Type_Practice,0))</f>
        <v>0</v>
      </c>
      <c r="D91" s="43">
        <f t="shared" si="9"/>
        <v>0</v>
      </c>
      <c r="E91" s="17">
        <f>INDEX(Physician_Type_Bed_Rate,MATCH(January!B91,Physician_Type_Practice,0))*'Hospital Input Page'!$C$4</f>
        <v>4912.3197447503335</v>
      </c>
      <c r="F91" s="9">
        <f t="shared" si="7"/>
        <v>0</v>
      </c>
      <c r="H91" s="5">
        <f t="array" ref="H91">SUMIFS(Physician_Visit_January, Physician_Visit_Practice, January!B91, Independent_Contractor_Visits,  'Physician Types'!$D$81) + SUMIFS(Physician_Minutes_January,Physician_Minutes_Practice,January!B91, Independent_Contractor_Minutes, 'Physician Types'!$D$81)/INDEX(Physician_Type_Visit_Minutes,MATCH(January!B91,Physician_Type_Practice,0))</f>
        <v>0</v>
      </c>
      <c r="I91" s="43">
        <f t="shared" si="10"/>
        <v>0</v>
      </c>
      <c r="J91" s="10">
        <f>E91*'Physician Types'!$E$4</f>
        <v>147.36959234251</v>
      </c>
      <c r="K91" s="10">
        <f t="shared" si="8"/>
        <v>0</v>
      </c>
    </row>
    <row r="92" spans="1:11" x14ac:dyDescent="0.2">
      <c r="A92" s="158">
        <v>4</v>
      </c>
      <c r="B92" s="128" t="s">
        <v>152</v>
      </c>
      <c r="C92" s="5">
        <f>SUMIFS(Physician_Visit_January,Physician_Visit_Practice,January!B92,Physician_Visit_Hospitalists, "&lt;&gt;"&amp;'Physician Types'!$D$81)+SUMIFS(Physician_Visit_January,Physician_Visit_Practice,January!B92,Physician_Visit_Hospitalists,'Physician Types'!$D$81)*INDEX(Physician_Type_Hospitalists_Visit_Minutes,MATCH(January!B92,Physician_Type_Practice,0))/INDEX(Physician_Type_Visit_Minutes,MATCH(January!B92,Physician_Type_Practice,0)) +SUMIF(Physician_Minutes_Practice,January!B92,Physician_Minutes_January)/INDEX(Physician_Type_Visit_Minutes,MATCH(January!B92,Physician_Type_Practice,0))</f>
        <v>0</v>
      </c>
      <c r="D92" s="43">
        <f t="shared" si="9"/>
        <v>0</v>
      </c>
      <c r="E92" s="17">
        <f>IFERROR(INDEX(Physician_Type_Bed_Rate,MATCH(January!B92,Physician_Type_Practice,0))*'Hospital Input Page'!$C$4,0)</f>
        <v>2664.0113037680594</v>
      </c>
      <c r="F92" s="9">
        <f t="shared" si="7"/>
        <v>0</v>
      </c>
      <c r="H92" s="5">
        <f t="array" ref="H92">SUMIFS(Physician_Visit_January, Physician_Visit_Practice, January!B92, Independent_Contractor_Visits,  'Physician Types'!$D$81) + SUMIFS(Physician_Minutes_January,Physician_Minutes_Practice,January!B92, Independent_Contractor_Minutes, 'Physician Types'!$D$81)/INDEX(Physician_Type_Visit_Minutes,MATCH(January!B92,Physician_Type_Practice,0))</f>
        <v>0</v>
      </c>
      <c r="I92" s="43">
        <f t="shared" si="10"/>
        <v>0</v>
      </c>
      <c r="J92" s="10">
        <f>E92*'Physician Types'!$E$4</f>
        <v>79.920339113041777</v>
      </c>
      <c r="K92" s="10">
        <f t="shared" si="8"/>
        <v>0</v>
      </c>
    </row>
    <row r="93" spans="1:11" x14ac:dyDescent="0.2">
      <c r="A93" s="158">
        <v>1</v>
      </c>
      <c r="B93" s="107" t="s">
        <v>30</v>
      </c>
      <c r="C93" s="5">
        <f>SUMIFS(Physician_Visit_January,Physician_Visit_Practice,January!B93,Physician_Visit_Hospitalists, "&lt;&gt;"&amp;'Physician Types'!$D$81)+SUMIFS(Physician_Visit_January,Physician_Visit_Practice,January!B93,Physician_Visit_Hospitalists,'Physician Types'!$D$81)*INDEX(Physician_Type_Hospitalists_Visit_Minutes,MATCH(January!B93,Physician_Type_Practice,0))/INDEX(Physician_Type_Visit_Minutes,MATCH(January!B93,Physician_Type_Practice,0)) +SUMIF(Physician_Minutes_Practice,January!B93,Physician_Minutes_January)/INDEX(Physician_Type_Visit_Minutes,MATCH(January!B93,Physician_Type_Practice,0))</f>
        <v>0</v>
      </c>
      <c r="D93" s="43">
        <f t="shared" si="9"/>
        <v>0</v>
      </c>
      <c r="E93" s="17">
        <f>INDEX(Physician_Type_Bed_Rate,MATCH(January!B93,Physician_Type_Practice,0))*'Hospital Input Page'!$C$4</f>
        <v>2544.9602491674359</v>
      </c>
      <c r="F93" s="9">
        <f t="shared" si="7"/>
        <v>0</v>
      </c>
      <c r="H93" s="5">
        <f t="array" ref="H93">SUMIFS(Physician_Visit_January, Physician_Visit_Practice, January!B93, Independent_Contractor_Visits,  'Physician Types'!$D$81) + SUMIFS(Physician_Minutes_January,Physician_Minutes_Practice,January!B93, Independent_Contractor_Minutes, 'Physician Types'!$D$81)/INDEX(Physician_Type_Visit_Minutes,MATCH(January!B93,Physician_Type_Practice,0))</f>
        <v>0</v>
      </c>
      <c r="I93" s="43">
        <f t="shared" si="10"/>
        <v>0</v>
      </c>
      <c r="J93" s="10">
        <f>E93*'Physician Types'!$E$4</f>
        <v>76.348807475023079</v>
      </c>
      <c r="K93" s="10">
        <f t="shared" si="8"/>
        <v>0</v>
      </c>
    </row>
    <row r="94" spans="1:11" x14ac:dyDescent="0.2">
      <c r="A94" s="158">
        <v>1</v>
      </c>
      <c r="B94" s="107" t="s">
        <v>31</v>
      </c>
      <c r="C94" s="5">
        <f>SUMIFS(Physician_Visit_January,Physician_Visit_Practice,January!B94,Physician_Visit_Hospitalists, "&lt;&gt;"&amp;'Physician Types'!$D$81)+SUMIFS(Physician_Visit_January,Physician_Visit_Practice,January!B94,Physician_Visit_Hospitalists,'Physician Types'!$D$81)*INDEX(Physician_Type_Hospitalists_Visit_Minutes,MATCH(January!B94,Physician_Type_Practice,0))/INDEX(Physician_Type_Visit_Minutes,MATCH(January!B94,Physician_Type_Practice,0)) +SUMIF(Physician_Minutes_Practice,January!B94,Physician_Minutes_January)/INDEX(Physician_Type_Visit_Minutes,MATCH(January!B94,Physician_Type_Practice,0))</f>
        <v>0</v>
      </c>
      <c r="D94" s="43">
        <f t="shared" si="9"/>
        <v>0</v>
      </c>
      <c r="E94" s="17">
        <f>INDEX(Physician_Type_Bed_Rate,MATCH(January!B94,Physician_Type_Practice,0))*'Hospital Input Page'!$C$4</f>
        <v>1258.818528154138</v>
      </c>
      <c r="F94" s="9">
        <f t="shared" si="7"/>
        <v>0</v>
      </c>
      <c r="H94" s="5">
        <f t="array" ref="H94">SUMIFS(Physician_Visit_January, Physician_Visit_Practice, January!B94, Independent_Contractor_Visits,  'Physician Types'!$D$81) + SUMIFS(Physician_Minutes_January,Physician_Minutes_Practice,January!B94, Independent_Contractor_Minutes, 'Physician Types'!$D$81)/INDEX(Physician_Type_Visit_Minutes,MATCH(January!B94,Physician_Type_Practice,0))</f>
        <v>0</v>
      </c>
      <c r="I94" s="43">
        <f t="shared" si="10"/>
        <v>0</v>
      </c>
      <c r="J94" s="10">
        <f>E94*'Physician Types'!$E$4</f>
        <v>37.764555844624141</v>
      </c>
      <c r="K94" s="10">
        <f t="shared" si="8"/>
        <v>0</v>
      </c>
    </row>
    <row r="95" spans="1:11" x14ac:dyDescent="0.2">
      <c r="A95" s="158">
        <v>2</v>
      </c>
      <c r="B95" s="107" t="s">
        <v>48</v>
      </c>
      <c r="C95" s="5">
        <f>SUMIFS(Physician_Visit_January,Physician_Visit_Practice,January!B95,Physician_Visit_Hospitalists, "&lt;&gt;"&amp;'Physician Types'!$D$81)+SUMIFS(Physician_Visit_January,Physician_Visit_Practice,January!B95,Physician_Visit_Hospitalists,'Physician Types'!$D$81)*INDEX(Physician_Type_Hospitalists_Visit_Minutes,MATCH(January!B95,Physician_Type_Practice,0))/INDEX(Physician_Type_Visit_Minutes,MATCH(January!B95,Physician_Type_Practice,0)) +SUMIF(Physician_Minutes_Practice,January!B95,Physician_Minutes_January)/INDEX(Physician_Type_Visit_Minutes,MATCH(January!B95,Physician_Type_Practice,0))</f>
        <v>0</v>
      </c>
      <c r="D95" s="43">
        <f t="shared" ref="D95" si="11">C95*INDEX(Physician_Type_Visit_Minutes,MATCH(B95,Physician_Type_Practice,0))/INDEX(Physician_Type_FTE_Minutes,MATCH(B95,Physician_Type_Practice,0))</f>
        <v>0</v>
      </c>
      <c r="E95" s="17">
        <f>INDEX(Physician_Type_Bed_Rate,MATCH(January!B95,Physician_Type_Practice,0))*'Hospital Input Page'!$C$4</f>
        <v>2336.1329894581445</v>
      </c>
      <c r="F95" s="9">
        <f t="shared" ref="F95" si="12">D95*E95</f>
        <v>0</v>
      </c>
      <c r="H95" s="5">
        <f t="array" ref="H95">SUMIFS(Physician_Visit_January, Physician_Visit_Practice, January!B95, Independent_Contractor_Visits,  'Physician Types'!$D$81) + SUMIFS(Physician_Minutes_January,Physician_Minutes_Practice,January!B95, Independent_Contractor_Minutes, 'Physician Types'!$D$81)/INDEX(Physician_Type_Visit_Minutes,MATCH(January!B95,Physician_Type_Practice,0))</f>
        <v>0</v>
      </c>
      <c r="I95" s="43">
        <f t="shared" ref="I95" si="13">H95*INDEX(Physician_Type_Visit_Minutes,MATCH(B95,Physician_Type_Practice,0))/INDEX(Physician_Type_FTE_Minutes,MATCH(B95,Physician_Type_Practice,0))</f>
        <v>0</v>
      </c>
      <c r="J95" s="10">
        <f>E95*'Physician Types'!$E$4</f>
        <v>70.083989683744335</v>
      </c>
      <c r="K95" s="10">
        <f t="shared" ref="K95" si="14">I95*J95</f>
        <v>0</v>
      </c>
    </row>
    <row r="96" spans="1:11" x14ac:dyDescent="0.2">
      <c r="A96" s="158">
        <v>2</v>
      </c>
      <c r="B96" s="107" t="s">
        <v>49</v>
      </c>
      <c r="C96" s="5">
        <f>SUMIFS(Physician_Visit_January,Physician_Visit_Practice,January!B96,Physician_Visit_Hospitalists, "&lt;&gt;"&amp;'Physician Types'!$D$81)+SUMIFS(Physician_Visit_January,Physician_Visit_Practice,January!B96,Physician_Visit_Hospitalists,'Physician Types'!$D$81)*INDEX(Physician_Type_Hospitalists_Visit_Minutes,MATCH(January!B96,Physician_Type_Practice,0))/INDEX(Physician_Type_Visit_Minutes,MATCH(January!B96,Physician_Type_Practice,0)) +SUMIF(Physician_Minutes_Practice,January!B96,Physician_Minutes_January)/INDEX(Physician_Type_Visit_Minutes,MATCH(January!B96,Physician_Type_Practice,0))</f>
        <v>0</v>
      </c>
      <c r="D96" s="43">
        <f t="shared" si="9"/>
        <v>0</v>
      </c>
      <c r="E96" s="17">
        <f>INDEX(Physician_Type_Bed_Rate,MATCH(January!B96,Physician_Type_Practice,0))*'Hospital Input Page'!$C$4</f>
        <v>1727.2161200254454</v>
      </c>
      <c r="F96" s="9">
        <f t="shared" si="7"/>
        <v>0</v>
      </c>
      <c r="H96" s="5">
        <f t="array" ref="H96">SUMIFS(Physician_Visit_January, Physician_Visit_Practice, January!B96, Independent_Contractor_Visits,  'Physician Types'!$D$81) + SUMIFS(Physician_Minutes_January,Physician_Minutes_Practice,January!B96, Independent_Contractor_Minutes, 'Physician Types'!$D$81)/INDEX(Physician_Type_Visit_Minutes,MATCH(January!B96,Physician_Type_Practice,0))</f>
        <v>0</v>
      </c>
      <c r="I96" s="43">
        <f t="shared" si="10"/>
        <v>0</v>
      </c>
      <c r="J96" s="10">
        <f>E96*'Physician Types'!$E$4</f>
        <v>51.816483600763362</v>
      </c>
      <c r="K96" s="10">
        <f t="shared" si="8"/>
        <v>0</v>
      </c>
    </row>
    <row r="97" spans="1:11" x14ac:dyDescent="0.2">
      <c r="A97" s="158">
        <v>1</v>
      </c>
      <c r="B97" s="107" t="s">
        <v>32</v>
      </c>
      <c r="C97" s="5">
        <f>SUMIFS(Physician_Visit_January,Physician_Visit_Practice,January!B97,Physician_Visit_Hospitalists, "&lt;&gt;"&amp;'Physician Types'!$D$81)+SUMIFS(Physician_Visit_January,Physician_Visit_Practice,January!B97,Physician_Visit_Hospitalists,'Physician Types'!$D$81)*INDEX(Physician_Type_Hospitalists_Visit_Minutes,MATCH(January!B97,Physician_Type_Practice,0))/INDEX(Physician_Type_Visit_Minutes,MATCH(January!B97,Physician_Type_Practice,0)) +SUMIF(Physician_Minutes_Practice,January!B97,Physician_Minutes_January)/INDEX(Physician_Type_Visit_Minutes,MATCH(January!B97,Physician_Type_Practice,0))</f>
        <v>0</v>
      </c>
      <c r="D97" s="43">
        <f t="shared" si="9"/>
        <v>0</v>
      </c>
      <c r="E97" s="17">
        <f>INDEX(Physician_Type_Bed_Rate,MATCH(January!B97,Physician_Type_Practice,0))*'Hospital Input Page'!$C$4</f>
        <v>1297.8516608100804</v>
      </c>
      <c r="F97" s="9">
        <f t="shared" si="7"/>
        <v>0</v>
      </c>
      <c r="H97" s="5">
        <f t="array" ref="H97">SUMIFS(Physician_Visit_January, Physician_Visit_Practice, January!B97, Independent_Contractor_Visits,  'Physician Types'!$D$81) + SUMIFS(Physician_Minutes_January,Physician_Minutes_Practice,January!B97, Independent_Contractor_Minutes, 'Physician Types'!$D$81)/INDEX(Physician_Type_Visit_Minutes,MATCH(January!B97,Physician_Type_Practice,0))</f>
        <v>0</v>
      </c>
      <c r="I97" s="43">
        <f t="shared" si="10"/>
        <v>0</v>
      </c>
      <c r="J97" s="10">
        <f>E97*'Physician Types'!$E$4</f>
        <v>38.935549824302413</v>
      </c>
      <c r="K97" s="10">
        <f t="shared" si="8"/>
        <v>0</v>
      </c>
    </row>
    <row r="98" spans="1:11" x14ac:dyDescent="0.2">
      <c r="A98" s="158"/>
      <c r="B98" s="102" t="s">
        <v>20</v>
      </c>
      <c r="C98" s="5">
        <f>SUMIFS(Physician_Visit_January,Physician_Visit_Practice,January!B98,Physician_Visit_Hospitalists, "&lt;&gt;"&amp;'Physician Types'!$D$81)+SUMIFS(Physician_Visit_January,Physician_Visit_Practice,January!B98,Physician_Visit_Hospitalists,'Physician Types'!$D$81)*INDEX(Physician_Type_Hospitalists_Visit_Minutes,MATCH(January!B98,Physician_Type_Practice,0))/INDEX(Physician_Type_Visit_Minutes,MATCH(January!B98,Physician_Type_Practice,0)) +SUMIF(Physician_Minutes_Practice,January!B98,Physician_Minutes_January)/INDEX(Physician_Type_Visit_Minutes,MATCH(January!B98,Physician_Type_Practice,0))</f>
        <v>568</v>
      </c>
      <c r="D98" s="43">
        <f t="shared" si="9"/>
        <v>1.0923286986288196</v>
      </c>
      <c r="E98" s="17">
        <f>INDEX(Physician_Type_Bed_Rate,MATCH(January!B98,Physician_Type_Practice,0))*'Hospital Input Page'!$C$4</f>
        <v>493.76912809766964</v>
      </c>
      <c r="F98" s="9">
        <f t="shared" si="7"/>
        <v>539.35818911801437</v>
      </c>
      <c r="H98" s="5">
        <f t="array" ref="H98">SUMIFS(Physician_Visit_January, Physician_Visit_Practice, January!B98, Independent_Contractor_Visits,  'Physician Types'!$D$81) + SUMIFS(Physician_Minutes_January,Physician_Minutes_Practice,January!B98, Independent_Contractor_Minutes, 'Physician Types'!$D$81)/INDEX(Physician_Type_Visit_Minutes,MATCH(January!B98,Physician_Type_Practice,0))</f>
        <v>0</v>
      </c>
      <c r="I98" s="43">
        <f t="shared" si="10"/>
        <v>0</v>
      </c>
      <c r="J98" s="10">
        <f>E98*'Physician Types'!$E$4</f>
        <v>14.813073842930088</v>
      </c>
      <c r="K98" s="10">
        <f t="shared" si="8"/>
        <v>0</v>
      </c>
    </row>
    <row r="99" spans="1:11" x14ac:dyDescent="0.2">
      <c r="A99" s="158">
        <v>1</v>
      </c>
      <c r="B99" s="107" t="s">
        <v>33</v>
      </c>
      <c r="C99" s="5">
        <f>SUMIFS(Physician_Visit_January,Physician_Visit_Practice,January!B99,Physician_Visit_Hospitalists, "&lt;&gt;"&amp;'Physician Types'!$D$81)+SUMIFS(Physician_Visit_January,Physician_Visit_Practice,January!B99,Physician_Visit_Hospitalists,'Physician Types'!$D$81)*INDEX(Physician_Type_Hospitalists_Visit_Minutes,MATCH(January!B99,Physician_Type_Practice,0))/INDEX(Physician_Type_Visit_Minutes,MATCH(January!B99,Physician_Type_Practice,0)) +SUMIF(Physician_Minutes_Practice,January!B99,Physician_Minutes_January)/INDEX(Physician_Type_Visit_Minutes,MATCH(January!B99,Physician_Type_Practice,0))</f>
        <v>0</v>
      </c>
      <c r="D99" s="43">
        <f t="shared" si="9"/>
        <v>0</v>
      </c>
      <c r="E99" s="17">
        <f>INDEX(Physician_Type_Bed_Rate,MATCH(January!B99,Physician_Type_Practice,0))*'Hospital Input Page'!$C$4</f>
        <v>1268.5768113181236</v>
      </c>
      <c r="F99" s="9">
        <f t="shared" si="7"/>
        <v>0</v>
      </c>
      <c r="H99" s="5">
        <f t="array" ref="H99">SUMIFS(Physician_Visit_January, Physician_Visit_Practice, January!B99, Independent_Contractor_Visits,  'Physician Types'!$D$81) + SUMIFS(Physician_Minutes_January,Physician_Minutes_Practice,January!B99, Independent_Contractor_Minutes, 'Physician Types'!$D$81)/INDEX(Physician_Type_Visit_Minutes,MATCH(January!B99,Physician_Type_Practice,0))</f>
        <v>0</v>
      </c>
      <c r="I99" s="43">
        <f t="shared" si="10"/>
        <v>0</v>
      </c>
      <c r="J99" s="10">
        <f>E99*'Physician Types'!$E$4</f>
        <v>38.057304339543705</v>
      </c>
      <c r="K99" s="10">
        <f t="shared" si="8"/>
        <v>0</v>
      </c>
    </row>
    <row r="100" spans="1:11" x14ac:dyDescent="0.2">
      <c r="A100" s="158">
        <v>2</v>
      </c>
      <c r="B100" s="107" t="s">
        <v>50</v>
      </c>
      <c r="C100" s="5">
        <f>SUMIFS(Physician_Visit_January,Physician_Visit_Practice,January!B100,Physician_Visit_Hospitalists, "&lt;&gt;"&amp;'Physician Types'!$D$81)+SUMIFS(Physician_Visit_January,Physician_Visit_Practice,January!B100,Physician_Visit_Hospitalists,'Physician Types'!$D$81)*INDEX(Physician_Type_Hospitalists_Visit_Minutes,MATCH(January!B100,Physician_Type_Practice,0))/INDEX(Physician_Type_Visit_Minutes,MATCH(January!B100,Physician_Type_Practice,0)) +SUMIF(Physician_Minutes_Practice,January!B100,Physician_Minutes_January)/INDEX(Physician_Type_Visit_Minutes,MATCH(January!B100,Physician_Type_Practice,0))</f>
        <v>0</v>
      </c>
      <c r="D100" s="43">
        <f t="shared" si="9"/>
        <v>0</v>
      </c>
      <c r="E100" s="17">
        <f>INDEX(Physician_Type_Bed_Rate,MATCH(January!B100,Physician_Type_Practice,0))*'Hospital Input Page'!$C$4</f>
        <v>2529.3469961050587</v>
      </c>
      <c r="F100" s="9">
        <f t="shared" si="7"/>
        <v>0</v>
      </c>
      <c r="H100" s="5">
        <f t="array" ref="H100">SUMIFS(Physician_Visit_January, Physician_Visit_Practice, January!B100, Independent_Contractor_Visits,  'Physician Types'!$D$81) + SUMIFS(Physician_Minutes_January,Physician_Minutes_Practice,January!B100, Independent_Contractor_Minutes, 'Physician Types'!$D$81)/INDEX(Physician_Type_Visit_Minutes,MATCH(January!B100,Physician_Type_Practice,0))</f>
        <v>0</v>
      </c>
      <c r="I100" s="43">
        <f t="shared" si="10"/>
        <v>0</v>
      </c>
      <c r="J100" s="10">
        <f>E100*'Physician Types'!$E$4</f>
        <v>75.880409883151756</v>
      </c>
      <c r="K100" s="10">
        <f t="shared" si="8"/>
        <v>0</v>
      </c>
    </row>
    <row r="101" spans="1:11" x14ac:dyDescent="0.2">
      <c r="A101" s="158">
        <v>2</v>
      </c>
      <c r="B101" s="107" t="s">
        <v>51</v>
      </c>
      <c r="C101" s="5">
        <f>SUMIFS(Physician_Visit_January,Physician_Visit_Practice,January!B101,Physician_Visit_Hospitalists, "&lt;&gt;"&amp;'Physician Types'!$D$81)+SUMIFS(Physician_Visit_January,Physician_Visit_Practice,January!B101,Physician_Visit_Hospitalists,'Physician Types'!$D$81)*INDEX(Physician_Type_Hospitalists_Visit_Minutes,MATCH(January!B101,Physician_Type_Practice,0))/INDEX(Physician_Type_Visit_Minutes,MATCH(January!B101,Physician_Type_Practice,0)) +SUMIF(Physician_Minutes_Practice,January!B101,Physician_Minutes_January)/INDEX(Physician_Type_Visit_Minutes,MATCH(January!B101,Physician_Type_Practice,0))</f>
        <v>0</v>
      </c>
      <c r="D101" s="43">
        <f t="shared" si="9"/>
        <v>0</v>
      </c>
      <c r="E101" s="17">
        <f>INDEX(Physician_Type_Bed_Rate,MATCH(January!B101,Physician_Type_Practice,0))*'Hospital Input Page'!$C$4</f>
        <v>1887.2519639148086</v>
      </c>
      <c r="F101" s="9">
        <f t="shared" si="7"/>
        <v>0</v>
      </c>
      <c r="H101" s="5">
        <f t="array" ref="H101">SUMIFS(Physician_Visit_January, Physician_Visit_Practice, January!B101, Independent_Contractor_Visits,  'Physician Types'!$D$81) + SUMIFS(Physician_Minutes_January,Physician_Minutes_Practice,January!B101, Independent_Contractor_Minutes, 'Physician Types'!$D$81)/INDEX(Physician_Type_Visit_Minutes,MATCH(January!B101,Physician_Type_Practice,0))</f>
        <v>0</v>
      </c>
      <c r="I101" s="43">
        <f t="shared" si="10"/>
        <v>0</v>
      </c>
      <c r="J101" s="10">
        <f>E101*'Physician Types'!$E$4</f>
        <v>56.617558917444256</v>
      </c>
      <c r="K101" s="10">
        <f t="shared" si="8"/>
        <v>0</v>
      </c>
    </row>
    <row r="102" spans="1:11" x14ac:dyDescent="0.2">
      <c r="A102" s="158">
        <v>2</v>
      </c>
      <c r="B102" s="107" t="s">
        <v>52</v>
      </c>
      <c r="C102" s="5">
        <f>SUMIFS(Physician_Visit_January,Physician_Visit_Practice,January!B102,Physician_Visit_Hospitalists, "&lt;&gt;"&amp;'Physician Types'!$D$81)+SUMIFS(Physician_Visit_January,Physician_Visit_Practice,January!B102,Physician_Visit_Hospitalists,'Physician Types'!$D$81)*INDEX(Physician_Type_Hospitalists_Visit_Minutes,MATCH(January!B102,Physician_Type_Practice,0))/INDEX(Physician_Type_Visit_Minutes,MATCH(January!B102,Physician_Type_Practice,0)) +SUMIF(Physician_Minutes_Practice,January!B102,Physician_Minutes_January)/INDEX(Physician_Type_Visit_Minutes,MATCH(January!B102,Physician_Type_Practice,0))</f>
        <v>0</v>
      </c>
      <c r="D102" s="43">
        <f t="shared" si="9"/>
        <v>0</v>
      </c>
      <c r="E102" s="17">
        <f>INDEX(Physician_Type_Bed_Rate,MATCH(January!B102,Physician_Type_Practice,0))*'Hospital Input Page'!$C$4</f>
        <v>2088.2725970929114</v>
      </c>
      <c r="F102" s="9">
        <f t="shared" si="7"/>
        <v>0</v>
      </c>
      <c r="H102" s="5">
        <f t="array" ref="H102">SUMIFS(Physician_Visit_January, Physician_Visit_Practice, January!B102, Independent_Contractor_Visits,  'Physician Types'!$D$81) + SUMIFS(Physician_Minutes_January,Physician_Minutes_Practice,January!B102, Independent_Contractor_Minutes, 'Physician Types'!$D$81)/INDEX(Physician_Type_Visit_Minutes,MATCH(January!B102,Physician_Type_Practice,0))</f>
        <v>0</v>
      </c>
      <c r="I102" s="43">
        <f t="shared" si="10"/>
        <v>0</v>
      </c>
      <c r="J102" s="10">
        <f>E102*'Physician Types'!$E$4</f>
        <v>62.648177912787339</v>
      </c>
      <c r="K102" s="10">
        <f t="shared" si="8"/>
        <v>0</v>
      </c>
    </row>
    <row r="103" spans="1:11" x14ac:dyDescent="0.2">
      <c r="A103" s="158">
        <v>4</v>
      </c>
      <c r="B103" s="107" t="s">
        <v>52</v>
      </c>
      <c r="C103" s="5">
        <f>SUMIFS(Physician_Visit_January,Physician_Visit_Practice,January!B103,Physician_Visit_Hospitalists, "&lt;&gt;"&amp;'Physician Types'!$D$81)+SUMIFS(Physician_Visit_January,Physician_Visit_Practice,January!B103,Physician_Visit_Hospitalists,'Physician Types'!$D$81)*INDEX(Physician_Type_Hospitalists_Visit_Minutes,MATCH(January!B103,Physician_Type_Practice,0))/INDEX(Physician_Type_Visit_Minutes,MATCH(January!B103,Physician_Type_Practice,0)) +SUMIF(Physician_Minutes_Practice,January!B103,Physician_Minutes_January)/INDEX(Physician_Type_Visit_Minutes,MATCH(January!B103,Physician_Type_Practice,0))</f>
        <v>0</v>
      </c>
      <c r="D103" s="43">
        <f t="shared" si="9"/>
        <v>0</v>
      </c>
      <c r="E103" s="17">
        <f>INDEX(Physician_Type_Bed_Rate,MATCH(January!B103,Physician_Type_Practice,0))*'Hospital Input Page'!$C$4</f>
        <v>2088.2725970929114</v>
      </c>
      <c r="F103" s="9">
        <f t="shared" si="7"/>
        <v>0</v>
      </c>
      <c r="H103" s="5">
        <f t="array" ref="H103">SUMIFS(Physician_Visit_January, Physician_Visit_Practice, January!B103, Independent_Contractor_Visits,  'Physician Types'!$D$81) + SUMIFS(Physician_Minutes_January,Physician_Minutes_Practice,January!B103, Independent_Contractor_Minutes, 'Physician Types'!$D$81)/INDEX(Physician_Type_Visit_Minutes,MATCH(January!B103,Physician_Type_Practice,0))</f>
        <v>0</v>
      </c>
      <c r="I103" s="43">
        <f t="shared" si="10"/>
        <v>0</v>
      </c>
      <c r="J103" s="10">
        <f>E103*'Physician Types'!$E$4</f>
        <v>62.648177912787339</v>
      </c>
      <c r="K103" s="10">
        <f t="shared" si="8"/>
        <v>0</v>
      </c>
    </row>
    <row r="104" spans="1:11" x14ac:dyDescent="0.2">
      <c r="A104" s="158">
        <v>5</v>
      </c>
      <c r="B104" s="102" t="s">
        <v>68</v>
      </c>
      <c r="C104" s="5">
        <f>SUMIFS(Physician_Visit_January,Physician_Visit_Practice,January!B104,Physician_Visit_Hospitalists, "&lt;&gt;"&amp;'Physician Types'!$D$81)+SUMIFS(Physician_Visit_January,Physician_Visit_Practice,January!B104,Physician_Visit_Hospitalists,'Physician Types'!$D$81)*INDEX(Physician_Type_Hospitalists_Visit_Minutes,MATCH(January!B104,Physician_Type_Practice,0))/INDEX(Physician_Type_Visit_Minutes,MATCH(January!B104,Physician_Type_Practice,0)) +SUMIF(Physician_Minutes_Practice,January!B104,Physician_Minutes_January)/INDEX(Physician_Type_Visit_Minutes,MATCH(January!B104,Physician_Type_Practice,0))</f>
        <v>0</v>
      </c>
      <c r="D104" s="43">
        <f t="shared" si="9"/>
        <v>0</v>
      </c>
      <c r="E104" s="17">
        <f>INDEX(Physician_Type_Bed_Rate,MATCH(January!B104,Physician_Type_Practice,0))*'Hospital Input Page'!$C$4</f>
        <v>2708.8994063223927</v>
      </c>
      <c r="F104" s="9">
        <f t="shared" si="7"/>
        <v>0</v>
      </c>
      <c r="H104" s="5">
        <f t="array" ref="H104">SUMIFS(Physician_Visit_January, Physician_Visit_Practice, January!B104, Independent_Contractor_Visits,  'Physician Types'!$D$81) + SUMIFS(Physician_Minutes_January,Physician_Minutes_Practice,January!B104, Independent_Contractor_Minutes, 'Physician Types'!$D$81)/INDEX(Physician_Type_Visit_Minutes,MATCH(January!B104,Physician_Type_Practice,0))</f>
        <v>0</v>
      </c>
      <c r="I104" s="43">
        <f t="shared" si="10"/>
        <v>0</v>
      </c>
      <c r="J104" s="10">
        <f>E104*'Physician Types'!$E$4</f>
        <v>81.266982189671779</v>
      </c>
      <c r="K104" s="10">
        <f t="shared" si="8"/>
        <v>0</v>
      </c>
    </row>
    <row r="105" spans="1:11" x14ac:dyDescent="0.2">
      <c r="A105" s="158">
        <v>2</v>
      </c>
      <c r="B105" s="107" t="s">
        <v>53</v>
      </c>
      <c r="C105" s="5">
        <f>SUMIFS(Physician_Visit_January,Physician_Visit_Practice,January!B105,Physician_Visit_Hospitalists, "&lt;&gt;"&amp;'Physician Types'!$D$81)+SUMIFS(Physician_Visit_January,Physician_Visit_Practice,January!B105,Physician_Visit_Hospitalists,'Physician Types'!$D$81)*INDEX(Physician_Type_Hospitalists_Visit_Minutes,MATCH(January!B105,Physician_Type_Practice,0))/INDEX(Physician_Type_Visit_Minutes,MATCH(January!B105,Physician_Type_Practice,0)) +SUMIF(Physician_Minutes_Practice,January!B105,Physician_Minutes_January)/INDEX(Physician_Type_Visit_Minutes,MATCH(January!B105,Physician_Type_Practice,0))</f>
        <v>0</v>
      </c>
      <c r="D105" s="43">
        <f t="shared" si="9"/>
        <v>0</v>
      </c>
      <c r="E105" s="17">
        <f>INDEX(Physician_Type_Bed_Rate,MATCH(January!B105,Physician_Type_Practice,0))*'Hospital Input Page'!$C$4</f>
        <v>1619.8750052216039</v>
      </c>
      <c r="F105" s="9">
        <f t="shared" si="7"/>
        <v>0</v>
      </c>
      <c r="H105" s="5">
        <f t="array" ref="H105">SUMIFS(Physician_Visit_January, Physician_Visit_Practice, January!B105, Independent_Contractor_Visits,  'Physician Types'!$D$81) + SUMIFS(Physician_Minutes_January,Physician_Minutes_Practice,January!B105, Independent_Contractor_Minutes, 'Physician Types'!$D$81)/INDEX(Physician_Type_Visit_Minutes,MATCH(January!B105,Physician_Type_Practice,0))</f>
        <v>0</v>
      </c>
      <c r="I105" s="43">
        <f t="shared" si="10"/>
        <v>0</v>
      </c>
      <c r="J105" s="10">
        <f>E105*'Physician Types'!$E$4</f>
        <v>48.596250156648118</v>
      </c>
      <c r="K105" s="10">
        <f t="shared" si="8"/>
        <v>0</v>
      </c>
    </row>
    <row r="106" spans="1:11" x14ac:dyDescent="0.2">
      <c r="A106" s="158">
        <v>3</v>
      </c>
      <c r="B106" s="102" t="s">
        <v>59</v>
      </c>
      <c r="C106" s="5">
        <f>SUMIFS(Physician_Visit_January,Physician_Visit_Practice,January!B106,Physician_Visit_Hospitalists, "&lt;&gt;"&amp;'Physician Types'!$D$81)+SUMIFS(Physician_Visit_January,Physician_Visit_Practice,January!B106,Physician_Visit_Hospitalists,'Physician Types'!$D$81)*INDEX(Physician_Type_Hospitalists_Visit_Minutes,MATCH(January!B106,Physician_Type_Practice,0))/INDEX(Physician_Type_Visit_Minutes,MATCH(January!B106,Physician_Type_Practice,0)) +SUMIF(Physician_Minutes_Practice,January!B106,Physician_Minutes_January)/INDEX(Physician_Type_Visit_Minutes,MATCH(January!B106,Physician_Type_Practice,0))</f>
        <v>0</v>
      </c>
      <c r="D106" s="43">
        <f t="shared" si="9"/>
        <v>0</v>
      </c>
      <c r="E106" s="17">
        <f>INDEX(Physician_Type_Bed_Rate,MATCH(January!B106,Physician_Type_Practice,0))*'Hospital Input Page'!$C$4</f>
        <v>380.57304339543714</v>
      </c>
      <c r="F106" s="9">
        <f t="shared" si="7"/>
        <v>0</v>
      </c>
      <c r="H106" s="5">
        <f t="array" ref="H106">SUMIFS(Physician_Visit_January, Physician_Visit_Practice, January!B106, Independent_Contractor_Visits,  'Physician Types'!$D$81) + SUMIFS(Physician_Minutes_January,Physician_Minutes_Practice,January!B106, Independent_Contractor_Minutes, 'Physician Types'!$D$81)/INDEX(Physician_Type_Visit_Minutes,MATCH(January!B106,Physician_Type_Practice,0))</f>
        <v>0</v>
      </c>
      <c r="I106" s="43">
        <f t="shared" si="10"/>
        <v>0</v>
      </c>
      <c r="J106" s="10">
        <f>E106*'Physician Types'!$E$4</f>
        <v>11.417191301863113</v>
      </c>
      <c r="K106" s="10">
        <f t="shared" si="8"/>
        <v>0</v>
      </c>
    </row>
    <row r="107" spans="1:11" x14ac:dyDescent="0.2">
      <c r="A107" s="158">
        <v>7</v>
      </c>
      <c r="B107" s="102" t="s">
        <v>75</v>
      </c>
      <c r="C107" s="5">
        <f>SUMIFS(Physician_Visit_January,Physician_Visit_Practice,January!B107,Physician_Visit_Hospitalists, "&lt;&gt;"&amp;'Physician Types'!$D$81)+SUMIFS(Physician_Visit_January,Physician_Visit_Practice,January!B107,Physician_Visit_Hospitalists,'Physician Types'!$D$81)*INDEX(Physician_Type_Hospitalists_Visit_Minutes,MATCH(January!B107,Physician_Type_Practice,0))/INDEX(Physician_Type_Visit_Minutes,MATCH(January!B107,Physician_Type_Practice,0)) +SUMIF(Physician_Minutes_Practice,January!B107,Physician_Minutes_January)/INDEX(Physician_Type_Visit_Minutes,MATCH(January!B107,Physician_Type_Practice,0))</f>
        <v>0</v>
      </c>
      <c r="D107" s="43">
        <f t="shared" si="9"/>
        <v>0</v>
      </c>
      <c r="E107" s="17">
        <f>INDEX(Physician_Type_Bed_Rate,MATCH(January!B107,Physician_Type_Practice,0))*'Hospital Input Page'!$C$4</f>
        <v>7974.4690016090053</v>
      </c>
      <c r="F107" s="9">
        <f t="shared" si="7"/>
        <v>0</v>
      </c>
      <c r="H107" s="5">
        <f t="array" ref="H107">SUMIFS(Physician_Visit_January, Physician_Visit_Practice, January!B107, Independent_Contractor_Visits,  'Physician Types'!$D$81) + SUMIFS(Physician_Minutes_January,Physician_Minutes_Practice,January!B107, Independent_Contractor_Minutes, 'Physician Types'!$D$81)/INDEX(Physician_Type_Visit_Minutes,MATCH(January!B107,Physician_Type_Practice,0))</f>
        <v>0</v>
      </c>
      <c r="I107" s="43">
        <f t="shared" si="10"/>
        <v>0</v>
      </c>
      <c r="J107" s="10">
        <f>E107*'Physician Types'!$E$4</f>
        <v>239.23407004827015</v>
      </c>
      <c r="K107" s="10">
        <f t="shared" si="8"/>
        <v>0</v>
      </c>
    </row>
    <row r="108" spans="1:11" x14ac:dyDescent="0.2">
      <c r="A108" s="158">
        <v>4</v>
      </c>
      <c r="B108" s="128" t="s">
        <v>140</v>
      </c>
      <c r="C108" s="5">
        <f>SUMIFS(Physician_Visit_January,Physician_Visit_Practice,January!B108,Physician_Visit_Hospitalists, "&lt;&gt;"&amp;'Physician Types'!$D$81)+SUMIFS(Physician_Visit_January,Physician_Visit_Practice,January!B108,Physician_Visit_Hospitalists,'Physician Types'!$D$81)*INDEX(Physician_Type_Hospitalists_Visit_Minutes,MATCH(January!B108,Physician_Type_Practice,0))/INDEX(Physician_Type_Visit_Minutes,MATCH(January!B108,Physician_Type_Practice,0)) +SUMIF(Physician_Minutes_Practice,January!B108,Physician_Minutes_January)/INDEX(Physician_Type_Visit_Minutes,MATCH(January!B108,Physician_Type_Practice,0))</f>
        <v>0</v>
      </c>
      <c r="D108" s="43">
        <f t="shared" si="9"/>
        <v>0</v>
      </c>
      <c r="E108" s="17">
        <f>INDEX(Physician_Type_Bed_Rate,MATCH(January!B108,Physician_Type_Practice,0))*'Hospital Input Page'!$C$4</f>
        <v>3159.7320884985265</v>
      </c>
      <c r="F108" s="9">
        <f t="shared" si="7"/>
        <v>0</v>
      </c>
      <c r="H108" s="5">
        <f t="array" ref="H108">SUMIFS(Physician_Visit_January, Physician_Visit_Practice, January!B108, Independent_Contractor_Visits,  'Physician Types'!$D$81) + SUMIFS(Physician_Minutes_January,Physician_Minutes_Practice,January!B108, Independent_Contractor_Minutes, 'Physician Types'!$D$81)/INDEX(Physician_Type_Visit_Minutes,MATCH(January!B108,Physician_Type_Practice,0))</f>
        <v>0</v>
      </c>
      <c r="I108" s="43">
        <f t="shared" si="10"/>
        <v>0</v>
      </c>
      <c r="J108" s="10">
        <f>E108*'Physician Types'!$E$4</f>
        <v>94.791962654955796</v>
      </c>
      <c r="K108" s="10">
        <f t="shared" si="8"/>
        <v>0</v>
      </c>
    </row>
    <row r="109" spans="1:11" x14ac:dyDescent="0.2">
      <c r="A109" s="158">
        <v>7</v>
      </c>
      <c r="B109" s="102" t="s">
        <v>76</v>
      </c>
      <c r="C109" s="5">
        <f>SUMIFS(Physician_Visit_January,Physician_Visit_Practice,January!B109,Physician_Visit_Hospitalists, "&lt;&gt;"&amp;'Physician Types'!$D$81)+SUMIFS(Physician_Visit_January,Physician_Visit_Practice,January!B109,Physician_Visit_Hospitalists,'Physician Types'!$D$81)*INDEX(Physician_Type_Hospitalists_Visit_Minutes,MATCH(January!B109,Physician_Type_Practice,0))/INDEX(Physician_Type_Visit_Minutes,MATCH(January!B109,Physician_Type_Practice,0)) +SUMIF(Physician_Minutes_Practice,January!B109,Physician_Minutes_January)/INDEX(Physician_Type_Visit_Minutes,MATCH(January!B109,Physician_Type_Practice,0))</f>
        <v>0</v>
      </c>
      <c r="D109" s="43">
        <f t="shared" si="9"/>
        <v>0</v>
      </c>
      <c r="E109" s="17">
        <f>INDEX(Physician_Type_Bed_Rate,MATCH(January!B109,Physician_Type_Practice,0))*'Hospital Input Page'!$C$4</f>
        <v>7709.0436995485979</v>
      </c>
      <c r="F109" s="9">
        <f t="shared" si="7"/>
        <v>0</v>
      </c>
      <c r="H109" s="5">
        <f t="array" ref="H109">SUMIFS(Physician_Visit_January, Physician_Visit_Practice, January!B109, Independent_Contractor_Visits,  'Physician Types'!$D$81) + SUMIFS(Physician_Minutes_January,Physician_Minutes_Practice,January!B109, Independent_Contractor_Minutes, 'Physician Types'!$D$81)/INDEX(Physician_Type_Visit_Minutes,MATCH(January!B109,Physician_Type_Practice,0))</f>
        <v>0</v>
      </c>
      <c r="I109" s="43">
        <f t="shared" si="10"/>
        <v>0</v>
      </c>
      <c r="J109" s="10">
        <f>E109*'Physician Types'!$E$4</f>
        <v>231.27131098645793</v>
      </c>
      <c r="K109" s="10">
        <f t="shared" si="8"/>
        <v>0</v>
      </c>
    </row>
    <row r="110" spans="1:11" x14ac:dyDescent="0.2">
      <c r="A110" s="102"/>
      <c r="B110" s="164" t="s">
        <v>156</v>
      </c>
      <c r="C110" s="5" t="e">
        <f>SUMIFS(Physician_Visit_January,Physician_Visit_Practice,January!B110,Physician_Visit_Hospitalists, "&lt;&gt;"&amp;'Physician Types'!$D$81)+SUMIFS(Physician_Visit_January,Physician_Visit_Practice,January!B110,Physician_Visit_Hospitalists,'Physician Types'!$D$81)*INDEX(Physician_Type_Hospitalists_Visit_Minutes,MATCH(January!B110,Physician_Type_Practice,0))/INDEX(Physician_Type_Visit_Minutes,MATCH(January!B110,Physician_Type_Practice,0)) +SUMIF(Physician_Minutes_Practice,January!B110,Physician_Minutes_January)/INDEX(Physician_Type_Visit_Minutes,MATCH(January!B110,Physician_Type_Practice,0))</f>
        <v>#REF!</v>
      </c>
      <c r="D110" s="43" t="e">
        <f t="shared" si="9"/>
        <v>#REF!</v>
      </c>
      <c r="E110" s="17" t="e">
        <f>INDEX(Physician_Type_Bed_Rate,MATCH(January!B110,Physician_Type_Practice,0))*'Hospital Input Page'!$C$4</f>
        <v>#REF!</v>
      </c>
      <c r="F110" s="9" t="e">
        <f t="shared" si="7"/>
        <v>#REF!</v>
      </c>
      <c r="H110" s="5" t="e">
        <f t="array" ref="H110">SUMIFS(Physician_Visit_January, Physician_Visit_Practice, January!B110, Independent_Contractor_Visits,  'Physician Types'!$D$81) + SUMIFS(Physician_Minutes_January,Physician_Minutes_Practice,January!B110, Independent_Contractor_Minutes, 'Physician Types'!$D$81)/INDEX(Physician_Type_Visit_Minutes,MATCH(January!B110,Physician_Type_Practice,0))</f>
        <v>#REF!</v>
      </c>
      <c r="I110" s="43" t="e">
        <f t="shared" si="10"/>
        <v>#REF!</v>
      </c>
      <c r="J110" s="10" t="e">
        <f>E110*'Physician Types'!$E$4</f>
        <v>#REF!</v>
      </c>
      <c r="K110" s="10" t="e">
        <f t="shared" si="8"/>
        <v>#REF!</v>
      </c>
    </row>
    <row r="111" spans="1:11" x14ac:dyDescent="0.2">
      <c r="A111" s="102"/>
      <c r="B111" s="164" t="s">
        <v>156</v>
      </c>
      <c r="C111" s="5" t="e">
        <f>SUMIFS(Physician_Visit_January,Physician_Visit_Practice,January!B111,Physician_Visit_Hospitalists, "&lt;&gt;"&amp;'Physician Types'!$D$81)+SUMIFS(Physician_Visit_January,Physician_Visit_Practice,January!B111,Physician_Visit_Hospitalists,'Physician Types'!$D$81)*INDEX(Physician_Type_Hospitalists_Visit_Minutes,MATCH(January!B111,Physician_Type_Practice,0))/INDEX(Physician_Type_Visit_Minutes,MATCH(January!B111,Physician_Type_Practice,0)) +SUMIF(Physician_Minutes_Practice,January!B111,Physician_Minutes_January)/INDEX(Physician_Type_Visit_Minutes,MATCH(January!B111,Physician_Type_Practice,0))</f>
        <v>#REF!</v>
      </c>
      <c r="D111" s="43" t="e">
        <f t="shared" ref="D111:D112" si="15">C111*INDEX(Physician_Type_Visit_Minutes,MATCH(B111,Physician_Type_Practice,0))/INDEX(Physician_Type_FTE_Minutes,MATCH(B111,Physician_Type_Practice,0))</f>
        <v>#REF!</v>
      </c>
      <c r="E111" s="17" t="e">
        <f>INDEX(Physician_Type_Bed_Rate,MATCH(January!B111,Physician_Type_Practice,0))*'Hospital Input Page'!$C$4</f>
        <v>#REF!</v>
      </c>
      <c r="F111" s="9" t="e">
        <f t="shared" si="7"/>
        <v>#REF!</v>
      </c>
      <c r="H111" s="5" t="e">
        <f t="array" ref="H111">SUMIFS(Physician_Visit_January, Physician_Visit_Practice, January!B111, Independent_Contractor_Visits,  'Physician Types'!$D$81) + SUMIFS(Physician_Minutes_January,Physician_Minutes_Practice,January!B111, Independent_Contractor_Minutes, 'Physician Types'!$D$81)/INDEX(Physician_Type_Visit_Minutes,MATCH(January!B111,Physician_Type_Practice,0))</f>
        <v>#REF!</v>
      </c>
      <c r="I111" s="43" t="e">
        <f t="shared" ref="I111:I112" si="16">H111*INDEX(Physician_Type_Visit_Minutes,MATCH(B111,Physician_Type_Practice,0))/INDEX(Physician_Type_FTE_Minutes,MATCH(B111,Physician_Type_Practice,0))</f>
        <v>#REF!</v>
      </c>
      <c r="J111" s="10" t="e">
        <f>E111*'Physician Types'!$E$4</f>
        <v>#REF!</v>
      </c>
      <c r="K111" s="10" t="e">
        <f t="shared" si="8"/>
        <v>#REF!</v>
      </c>
    </row>
    <row r="112" spans="1:11" x14ac:dyDescent="0.2">
      <c r="A112" s="102"/>
      <c r="B112" s="164" t="s">
        <v>156</v>
      </c>
      <c r="C112" s="5" t="e">
        <f>SUMIFS(Physician_Visit_January,Physician_Visit_Practice,January!B112,Physician_Visit_Hospitalists, "&lt;&gt;"&amp;'Physician Types'!$D$81)+SUMIFS(Physician_Visit_January,Physician_Visit_Practice,January!B112,Physician_Visit_Hospitalists,'Physician Types'!$D$81)*INDEX(Physician_Type_Hospitalists_Visit_Minutes,MATCH(January!B112,Physician_Type_Practice,0))/INDEX(Physician_Type_Visit_Minutes,MATCH(January!B112,Physician_Type_Practice,0)) +SUMIF(Physician_Minutes_Practice,January!B112,Physician_Minutes_January)/INDEX(Physician_Type_Visit_Minutes,MATCH(January!B112,Physician_Type_Practice,0))</f>
        <v>#REF!</v>
      </c>
      <c r="D112" s="43" t="e">
        <f t="shared" si="15"/>
        <v>#REF!</v>
      </c>
      <c r="E112" s="17" t="e">
        <f>INDEX(Physician_Type_Bed_Rate,MATCH(January!B112,Physician_Type_Practice,0))*'Hospital Input Page'!$C$4</f>
        <v>#REF!</v>
      </c>
      <c r="F112" s="9" t="e">
        <f t="shared" ref="F112" si="17">D112*E112</f>
        <v>#REF!</v>
      </c>
      <c r="H112" s="5" t="e">
        <f t="array" ref="H112">SUMIFS(Physician_Visit_January, Physician_Visit_Practice, January!B112, Independent_Contractor_Visits,  'Physician Types'!$D$81) + SUMIFS(Physician_Minutes_January,Physician_Minutes_Practice,January!B112, Independent_Contractor_Minutes, 'Physician Types'!$D$81)/INDEX(Physician_Type_Visit_Minutes,MATCH(January!B112,Physician_Type_Practice,0))</f>
        <v>#REF!</v>
      </c>
      <c r="I112" s="43" t="e">
        <f t="shared" si="16"/>
        <v>#REF!</v>
      </c>
      <c r="J112" s="10" t="e">
        <f>E112*'Physician Types'!$E$4</f>
        <v>#REF!</v>
      </c>
      <c r="K112" s="10" t="e">
        <f t="shared" ref="K112" si="18">I112*J112</f>
        <v>#REF!</v>
      </c>
    </row>
    <row r="113" spans="1:11" x14ac:dyDescent="0.2">
      <c r="A113" s="102"/>
      <c r="B113" s="164" t="s">
        <v>156</v>
      </c>
      <c r="C113" s="5" t="e">
        <f>SUMIFS(Physician_Visit_January,Physician_Visit_Practice,January!B113,Physician_Visit_Hospitalists, "&lt;&gt;"&amp;'Physician Types'!$D$81)+SUMIFS(Physician_Visit_January,Physician_Visit_Practice,January!B113,Physician_Visit_Hospitalists,'Physician Types'!$D$81)*INDEX(Physician_Type_Hospitalists_Visit_Minutes,MATCH(January!B113,Physician_Type_Practice,0))/INDEX(Physician_Type_Visit_Minutes,MATCH(January!B113,Physician_Type_Practice,0)) +SUMIF(Physician_Minutes_Practice,January!B113,Physician_Minutes_January)/INDEX(Physician_Type_Visit_Minutes,MATCH(January!B113,Physician_Type_Practice,0))</f>
        <v>#REF!</v>
      </c>
      <c r="D113" s="43" t="e">
        <f t="shared" ref="D113:D116" si="19">C113*INDEX(Physician_Type_Visit_Minutes,MATCH(B113,Physician_Type_Practice,0))/INDEX(Physician_Type_FTE_Minutes,MATCH(B113,Physician_Type_Practice,0))</f>
        <v>#REF!</v>
      </c>
      <c r="E113" s="17" t="e">
        <f>INDEX(Physician_Type_Bed_Rate,MATCH(January!B113,Physician_Type_Practice,0))*'Hospital Input Page'!$C$4</f>
        <v>#REF!</v>
      </c>
      <c r="F113" s="9" t="e">
        <f t="shared" ref="F113:F116" si="20">D113*E113</f>
        <v>#REF!</v>
      </c>
      <c r="H113" s="5" t="e">
        <f t="array" ref="H113">SUMIFS(Physician_Visit_January, Physician_Visit_Practice, January!B113, Independent_Contractor_Visits,  'Physician Types'!$D$81) + SUMIFS(Physician_Minutes_January,Physician_Minutes_Practice,January!B113, Independent_Contractor_Minutes, 'Physician Types'!$D$81)/INDEX(Physician_Type_Visit_Minutes,MATCH(January!B113,Physician_Type_Practice,0))</f>
        <v>#REF!</v>
      </c>
      <c r="I113" s="43" t="e">
        <f t="shared" ref="I113:I116" si="21">H113*INDEX(Physician_Type_Visit_Minutes,MATCH(B113,Physician_Type_Practice,0))/INDEX(Physician_Type_FTE_Minutes,MATCH(B113,Physician_Type_Practice,0))</f>
        <v>#REF!</v>
      </c>
      <c r="J113" s="10" t="e">
        <f>E113*'Physician Types'!$E$4</f>
        <v>#REF!</v>
      </c>
      <c r="K113" s="10" t="e">
        <f t="shared" ref="K113:K116" si="22">I113*J113</f>
        <v>#REF!</v>
      </c>
    </row>
    <row r="114" spans="1:11" x14ac:dyDescent="0.2">
      <c r="A114" s="102"/>
      <c r="B114" s="164" t="s">
        <v>156</v>
      </c>
      <c r="C114" s="5" t="e">
        <f>SUMIFS(Physician_Visit_January,Physician_Visit_Practice,January!B114,Physician_Visit_Hospitalists, "&lt;&gt;"&amp;'Physician Types'!$D$81)+SUMIFS(Physician_Visit_January,Physician_Visit_Practice,January!B114,Physician_Visit_Hospitalists,'Physician Types'!$D$81)*INDEX(Physician_Type_Hospitalists_Visit_Minutes,MATCH(January!B114,Physician_Type_Practice,0))/INDEX(Physician_Type_Visit_Minutes,MATCH(January!B114,Physician_Type_Practice,0)) +SUMIF(Physician_Minutes_Practice,January!B114,Physician_Minutes_January)/INDEX(Physician_Type_Visit_Minutes,MATCH(January!B114,Physician_Type_Practice,0))</f>
        <v>#REF!</v>
      </c>
      <c r="D114" s="43" t="e">
        <f t="shared" si="19"/>
        <v>#REF!</v>
      </c>
      <c r="E114" s="17" t="e">
        <f>INDEX(Physician_Type_Bed_Rate,MATCH(January!B114,Physician_Type_Practice,0))*'Hospital Input Page'!$C$4</f>
        <v>#REF!</v>
      </c>
      <c r="F114" s="9" t="e">
        <f t="shared" si="20"/>
        <v>#REF!</v>
      </c>
      <c r="H114" s="5" t="e">
        <f t="array" ref="H114">SUMIFS(Physician_Visit_January, Physician_Visit_Practice, January!B114, Independent_Contractor_Visits,  'Physician Types'!$D$81) + SUMIFS(Physician_Minutes_January,Physician_Minutes_Practice,January!B114, Independent_Contractor_Minutes, 'Physician Types'!$D$81)/INDEX(Physician_Type_Visit_Minutes,MATCH(January!B114,Physician_Type_Practice,0))</f>
        <v>#REF!</v>
      </c>
      <c r="I114" s="43" t="e">
        <f t="shared" si="21"/>
        <v>#REF!</v>
      </c>
      <c r="J114" s="10" t="e">
        <f>E114*'Physician Types'!$E$4</f>
        <v>#REF!</v>
      </c>
      <c r="K114" s="10" t="e">
        <f t="shared" si="22"/>
        <v>#REF!</v>
      </c>
    </row>
    <row r="115" spans="1:11" x14ac:dyDescent="0.2">
      <c r="A115" s="102"/>
      <c r="B115" s="164" t="s">
        <v>156</v>
      </c>
      <c r="C115" s="5" t="e">
        <f>SUMIFS(Physician_Visit_January,Physician_Visit_Practice,January!B115,Physician_Visit_Hospitalists, "&lt;&gt;"&amp;'Physician Types'!$D$81)+SUMIFS(Physician_Visit_January,Physician_Visit_Practice,January!B115,Physician_Visit_Hospitalists,'Physician Types'!$D$81)*INDEX(Physician_Type_Hospitalists_Visit_Minutes,MATCH(January!B115,Physician_Type_Practice,0))/INDEX(Physician_Type_Visit_Minutes,MATCH(January!B115,Physician_Type_Practice,0)) +SUMIF(Physician_Minutes_Practice,January!B115,Physician_Minutes_January)/INDEX(Physician_Type_Visit_Minutes,MATCH(January!B115,Physician_Type_Practice,0))</f>
        <v>#REF!</v>
      </c>
      <c r="D115" s="43" t="e">
        <f t="shared" si="19"/>
        <v>#REF!</v>
      </c>
      <c r="E115" s="17" t="e">
        <f>INDEX(Physician_Type_Bed_Rate,MATCH(January!B115,Physician_Type_Practice,0))*'Hospital Input Page'!$C$4</f>
        <v>#REF!</v>
      </c>
      <c r="F115" s="9" t="e">
        <f t="shared" si="20"/>
        <v>#REF!</v>
      </c>
      <c r="H115" s="5" t="e">
        <f t="array" ref="H115">SUMIFS(Physician_Visit_January, Physician_Visit_Practice, January!B115, Independent_Contractor_Visits,  'Physician Types'!$D$81) + SUMIFS(Physician_Minutes_January,Physician_Minutes_Practice,January!B115, Independent_Contractor_Minutes, 'Physician Types'!$D$81)/INDEX(Physician_Type_Visit_Minutes,MATCH(January!B115,Physician_Type_Practice,0))</f>
        <v>#REF!</v>
      </c>
      <c r="I115" s="43" t="e">
        <f t="shared" si="21"/>
        <v>#REF!</v>
      </c>
      <c r="J115" s="10" t="e">
        <f>E115*'Physician Types'!$E$4</f>
        <v>#REF!</v>
      </c>
      <c r="K115" s="10" t="e">
        <f t="shared" si="22"/>
        <v>#REF!</v>
      </c>
    </row>
    <row r="116" spans="1:11" x14ac:dyDescent="0.2">
      <c r="A116" s="102"/>
      <c r="B116" s="164" t="s">
        <v>156</v>
      </c>
      <c r="C116" s="5" t="e">
        <f>SUMIFS(Physician_Visit_January,Physician_Visit_Practice,January!B116,Physician_Visit_Hospitalists, "&lt;&gt;"&amp;'Physician Types'!$D$81)+SUMIFS(Physician_Visit_January,Physician_Visit_Practice,January!B116,Physician_Visit_Hospitalists,'Physician Types'!$D$81)*INDEX(Physician_Type_Hospitalists_Visit_Minutes,MATCH(January!B116,Physician_Type_Practice,0))/INDEX(Physician_Type_Visit_Minutes,MATCH(January!B116,Physician_Type_Practice,0)) +SUMIF(Physician_Minutes_Practice,January!B116,Physician_Minutes_January)/INDEX(Physician_Type_Visit_Minutes,MATCH(January!B116,Physician_Type_Practice,0))</f>
        <v>#REF!</v>
      </c>
      <c r="D116" s="43" t="e">
        <f t="shared" si="19"/>
        <v>#REF!</v>
      </c>
      <c r="E116" s="17" t="e">
        <f>INDEX(Physician_Type_Bed_Rate,MATCH(January!B116,Physician_Type_Practice,0))*'Hospital Input Page'!$C$4</f>
        <v>#REF!</v>
      </c>
      <c r="F116" s="9" t="e">
        <f t="shared" si="20"/>
        <v>#REF!</v>
      </c>
      <c r="H116" s="5" t="e">
        <f t="array" ref="H116">SUMIFS(Physician_Visit_January, Physician_Visit_Practice, January!B116, Independent_Contractor_Visits,  'Physician Types'!$D$81) + SUMIFS(Physician_Minutes_January,Physician_Minutes_Practice,January!B116, Independent_Contractor_Minutes, 'Physician Types'!$D$81)/INDEX(Physician_Type_Visit_Minutes,MATCH(January!B116,Physician_Type_Practice,0))</f>
        <v>#REF!</v>
      </c>
      <c r="I116" s="43" t="e">
        <f t="shared" si="21"/>
        <v>#REF!</v>
      </c>
      <c r="J116" s="10" t="e">
        <f>E116*'Physician Types'!$E$4</f>
        <v>#REF!</v>
      </c>
      <c r="K116" s="10" t="e">
        <f t="shared" si="22"/>
        <v>#REF!</v>
      </c>
    </row>
    <row r="119" spans="1:11" x14ac:dyDescent="0.2">
      <c r="B119" s="46" t="s">
        <v>106</v>
      </c>
      <c r="C119" s="149"/>
      <c r="D119" s="150"/>
      <c r="E119" s="151"/>
      <c r="F119" s="48">
        <f>SUMIF(F46:F116,"&lt;&gt;#REF!",F46:F116)</f>
        <v>2960.7476822393387</v>
      </c>
      <c r="G119" s="46"/>
      <c r="H119" s="46"/>
      <c r="I119" s="46"/>
      <c r="J119" s="46"/>
      <c r="K119" s="48">
        <f>SUMIF(K46:K116,"&lt;&gt;#REF!",K46:K116)</f>
        <v>0.14947350026182241</v>
      </c>
    </row>
  </sheetData>
  <sheetProtection algorithmName="SHA-512" hashValue="E4YZF9RKuP/GhBG68xvQFdmWsX9ZaVTxSLxCogVa1K6EavJzrQXU+7+JY52ryiqqaxYkGweAihLZ53+018T73A==" saltValue="btTvz/TgkGnWgQq2HE1iPQ==" spinCount="100000" sheet="1" objects="1" scenarios="1"/>
  <customSheetViews>
    <customSheetView guid="{4B7E793F-FF7C-4BA4-8EC7-9B719AA3D607}" fitToPage="1">
      <selection activeCell="B7" sqref="B7:C7"/>
      <pageMargins left="0.5" right="0.5" top="0.5" bottom="0.5" header="0.5" footer="0.5"/>
      <printOptions gridLines="1"/>
      <pageSetup scale="96" orientation="portrait" r:id="rId1"/>
      <headerFooter alignWithMargins="0"/>
    </customSheetView>
  </customSheetViews>
  <phoneticPr fontId="8" type="noConversion"/>
  <printOptions headings="1"/>
  <pageMargins left="0.5" right="0.5" top="0.5" bottom="0.5" header="0.5" footer="0.5"/>
  <pageSetup scale="94"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K119"/>
  <sheetViews>
    <sheetView zoomScaleNormal="100" workbookViewId="0">
      <selection activeCell="E19" sqref="E19:F20"/>
    </sheetView>
  </sheetViews>
  <sheetFormatPr defaultRowHeight="12.75" x14ac:dyDescent="0.2"/>
  <cols>
    <col min="1" max="1" width="3.7109375" customWidth="1"/>
    <col min="2" max="2" width="52.42578125" customWidth="1"/>
    <col min="3" max="3" width="11.7109375" customWidth="1"/>
    <col min="4" max="4" width="10.42578125" style="8" customWidth="1"/>
    <col min="5" max="5" width="9.140625" style="6" bestFit="1" customWidth="1"/>
    <col min="6" max="6" width="12.85546875" customWidth="1"/>
    <col min="8" max="8" width="12.28515625" customWidth="1"/>
    <col min="11" max="11" width="10.28515625" customWidth="1"/>
  </cols>
  <sheetData>
    <row r="1" spans="1:8" ht="15.75" x14ac:dyDescent="0.25">
      <c r="A1" s="18" t="str">
        <f>'Hospital Input Page'!A1</f>
        <v>Grover Dils</v>
      </c>
      <c r="B1" s="19"/>
      <c r="C1" s="18" t="s">
        <v>101</v>
      </c>
      <c r="D1" s="196">
        <f>'Hospital Input Page'!L6</f>
        <v>2020</v>
      </c>
      <c r="E1" s="19"/>
    </row>
    <row r="2" spans="1:8" ht="15.75" x14ac:dyDescent="0.25">
      <c r="A2" s="18" t="str">
        <f>'Hospital Input Page'!A2</f>
        <v>LiCON MONTHLY REPORT FORM (MRF)</v>
      </c>
      <c r="B2" s="19"/>
      <c r="C2" s="19"/>
      <c r="D2" s="20"/>
      <c r="E2" s="19"/>
    </row>
    <row r="3" spans="1:8" ht="15.75" customHeight="1" x14ac:dyDescent="0.25">
      <c r="A3" s="18"/>
      <c r="B3" s="21"/>
      <c r="D3" s="20"/>
      <c r="E3" s="22"/>
      <c r="F3" s="38"/>
    </row>
    <row r="5" spans="1:8" ht="15.75" x14ac:dyDescent="0.25">
      <c r="B5" s="21" t="s">
        <v>24</v>
      </c>
      <c r="C5" s="168">
        <f>F39</f>
        <v>4811.3850088128138</v>
      </c>
      <c r="E5"/>
    </row>
    <row r="6" spans="1:8" x14ac:dyDescent="0.2">
      <c r="C6" s="2"/>
    </row>
    <row r="7" spans="1:8" x14ac:dyDescent="0.2">
      <c r="B7" s="58" t="str">
        <f>'Hospital Input Page'!$B$5</f>
        <v>Deductible</v>
      </c>
      <c r="C7" s="58">
        <f>'Hospital Input Page'!$C$5</f>
        <v>10000</v>
      </c>
    </row>
    <row r="8" spans="1:8" x14ac:dyDescent="0.2">
      <c r="B8" s="1"/>
      <c r="C8" s="3"/>
    </row>
    <row r="9" spans="1:8" ht="13.5" thickBot="1" x14ac:dyDescent="0.25">
      <c r="A9" s="4"/>
      <c r="B9" s="23" t="s">
        <v>0</v>
      </c>
      <c r="C9" s="23" t="s">
        <v>1</v>
      </c>
      <c r="D9" s="24" t="s">
        <v>27</v>
      </c>
      <c r="E9" s="25"/>
      <c r="F9" s="49" t="s">
        <v>111</v>
      </c>
    </row>
    <row r="10" spans="1:8" ht="12.95" customHeight="1" x14ac:dyDescent="0.2">
      <c r="A10" s="29">
        <v>1</v>
      </c>
      <c r="B10" s="113" t="s">
        <v>2</v>
      </c>
      <c r="C10" s="5">
        <f>INDEX(Hospital_Exposure_February, MATCH(February!B10,Hospital_Exposure_Name,0))</f>
        <v>1.1100000000000001</v>
      </c>
      <c r="D10" s="17">
        <f>INDEX(Hospital_Exposure_Rate,MATCH(February!B10,Hospital_Exposure_Name,0))</f>
        <v>527.69012023747894</v>
      </c>
      <c r="E10" s="28" t="s">
        <v>21</v>
      </c>
      <c r="F10" s="50">
        <f t="shared" ref="F10:F15" si="0">C10*D10</f>
        <v>585.73603346360164</v>
      </c>
    </row>
    <row r="11" spans="1:8" ht="12.95" customHeight="1" x14ac:dyDescent="0.2">
      <c r="A11" s="29">
        <f>A10+1</f>
        <v>2</v>
      </c>
      <c r="B11" s="118" t="s">
        <v>3</v>
      </c>
      <c r="C11" s="5">
        <f>INDEX(Hospital_Exposure_February, MATCH(February!B11,Hospital_Exposure_Name,0))</f>
        <v>0</v>
      </c>
      <c r="D11" s="17">
        <f>INDEX(Hospital_Exposure_Rate,MATCH(February!B11,Hospital_Exposure_Name,0))</f>
        <v>527.69012023747894</v>
      </c>
      <c r="E11" s="28" t="s">
        <v>21</v>
      </c>
      <c r="F11" s="50">
        <f t="shared" si="0"/>
        <v>0</v>
      </c>
    </row>
    <row r="12" spans="1:8" ht="12.95" customHeight="1" x14ac:dyDescent="0.2">
      <c r="A12" s="29">
        <f t="shared" ref="A12:A35" si="1">A11+1</f>
        <v>3</v>
      </c>
      <c r="B12" s="118" t="s">
        <v>4</v>
      </c>
      <c r="C12" s="5">
        <f>INDEX(Hospital_Exposure_February, MATCH(February!B12,Hospital_Exposure_Name,0))</f>
        <v>16.8</v>
      </c>
      <c r="D12" s="17">
        <f>INDEX(Hospital_Exposure_Rate,MATCH(February!B12,Hospital_Exposure_Name,0))</f>
        <v>63.322814428497473</v>
      </c>
      <c r="E12" s="28" t="s">
        <v>21</v>
      </c>
      <c r="F12" s="50">
        <f t="shared" si="0"/>
        <v>1063.8232823987576</v>
      </c>
    </row>
    <row r="13" spans="1:8" ht="12.95" customHeight="1" x14ac:dyDescent="0.2">
      <c r="A13" s="29">
        <f t="shared" si="1"/>
        <v>4</v>
      </c>
      <c r="B13" s="118" t="s">
        <v>5</v>
      </c>
      <c r="C13" s="5">
        <f>INDEX(Hospital_Exposure_February, MATCH(February!B13,Hospital_Exposure_Name,0))</f>
        <v>0</v>
      </c>
      <c r="D13" s="17">
        <f>INDEX(Hospital_Exposure_Rate,MATCH(February!B13,Hospital_Exposure_Name,0))</f>
        <v>369.38308416623522</v>
      </c>
      <c r="E13" s="28" t="s">
        <v>21</v>
      </c>
      <c r="F13" s="50">
        <f t="shared" si="0"/>
        <v>0</v>
      </c>
    </row>
    <row r="14" spans="1:8" ht="12.95" customHeight="1" x14ac:dyDescent="0.2">
      <c r="A14" s="29">
        <f t="shared" si="1"/>
        <v>5</v>
      </c>
      <c r="B14" s="118" t="s">
        <v>6</v>
      </c>
      <c r="C14" s="5">
        <f>INDEX(Hospital_Exposure_February, MATCH(February!B14,Hospital_Exposure_Name,0))</f>
        <v>0</v>
      </c>
      <c r="D14" s="17">
        <f>INDEX(Hospital_Exposure_Rate,MATCH(February!B14,Hospital_Exposure_Name,0))</f>
        <v>237.988244227103</v>
      </c>
      <c r="E14" s="28" t="s">
        <v>21</v>
      </c>
      <c r="F14" s="50">
        <f t="shared" si="0"/>
        <v>0</v>
      </c>
    </row>
    <row r="15" spans="1:8" ht="12.95" customHeight="1" x14ac:dyDescent="0.2">
      <c r="A15" s="29">
        <f t="shared" si="1"/>
        <v>6</v>
      </c>
      <c r="B15" s="118" t="s">
        <v>7</v>
      </c>
      <c r="C15" s="5">
        <f>INDEX(Hospital_Exposure_February, MATCH(February!B15,Hospital_Exposure_Name,0))</f>
        <v>0</v>
      </c>
      <c r="D15" s="17">
        <f>INDEX(Hospital_Exposure_Rate,MATCH(February!B15,Hospital_Exposure_Name,0))</f>
        <v>184.69154208311761</v>
      </c>
      <c r="E15" s="28" t="s">
        <v>21</v>
      </c>
      <c r="F15" s="50">
        <f t="shared" si="0"/>
        <v>0</v>
      </c>
    </row>
    <row r="16" spans="1:8" ht="12.95" customHeight="1" x14ac:dyDescent="0.2">
      <c r="A16" s="29">
        <f t="shared" si="1"/>
        <v>7</v>
      </c>
      <c r="B16" s="122" t="s">
        <v>114</v>
      </c>
      <c r="C16" s="5">
        <f>INDEX(Hospital_Exposure_February, MATCH(February!B16,Hospital_Exposure_Name,0))</f>
        <v>80</v>
      </c>
      <c r="D16" s="17">
        <f>INDEX(Hospital_Exposure_Rate,MATCH(February!B16,Hospital_Exposure_Name,0))</f>
        <v>89.707320440371419</v>
      </c>
      <c r="E16" s="28" t="s">
        <v>22</v>
      </c>
      <c r="F16" s="50">
        <f>C16*D16/100</f>
        <v>71.765856352297135</v>
      </c>
      <c r="H16" s="31"/>
    </row>
    <row r="17" spans="1:8" ht="12.95" customHeight="1" x14ac:dyDescent="0.2">
      <c r="A17" s="29">
        <f t="shared" si="1"/>
        <v>8</v>
      </c>
      <c r="B17" s="122" t="s">
        <v>115</v>
      </c>
      <c r="C17" s="5">
        <f>INDEX(Hospital_Exposure_February, MATCH(February!B17,Hospital_Exposure_Name,0))</f>
        <v>1280</v>
      </c>
      <c r="D17" s="17">
        <f>INDEX(Hospital_Exposure_Rate,MATCH(February!B17,Hospital_Exposure_Name,0))</f>
        <v>21.107604809499158</v>
      </c>
      <c r="E17" s="28" t="s">
        <v>22</v>
      </c>
      <c r="F17" s="50">
        <f>C17*D17/100</f>
        <v>270.17734156158917</v>
      </c>
      <c r="H17" s="31"/>
    </row>
    <row r="18" spans="1:8" ht="12.95" customHeight="1" x14ac:dyDescent="0.2">
      <c r="A18" s="29">
        <f t="shared" si="1"/>
        <v>9</v>
      </c>
      <c r="B18" s="122" t="s">
        <v>116</v>
      </c>
      <c r="C18" s="5">
        <f>INDEX(Hospital_Exposure_February, MATCH(February!B18,Hospital_Exposure_Name,0))</f>
        <v>0</v>
      </c>
      <c r="D18" s="17">
        <f>INDEX(Hospital_Exposure_Rate,MATCH(February!B18,Hospital_Exposure_Name,0))</f>
        <v>1.1609182645224538</v>
      </c>
      <c r="E18" s="28" t="s">
        <v>22</v>
      </c>
      <c r="F18" s="50">
        <f>C18*D18/100</f>
        <v>0</v>
      </c>
    </row>
    <row r="19" spans="1:8" ht="12.95" customHeight="1" x14ac:dyDescent="0.2">
      <c r="A19" s="29">
        <f t="shared" si="1"/>
        <v>10</v>
      </c>
      <c r="B19" s="118" t="s">
        <v>8</v>
      </c>
      <c r="C19" s="5">
        <f>INDEX(Hospital_Exposure_February, MATCH(February!B19,Hospital_Exposure_Name,0))</f>
        <v>0</v>
      </c>
      <c r="D19" s="17">
        <f>INDEX(Hospital_Exposure_Rate,MATCH(February!B19,Hospital_Exposure_Name,0))</f>
        <v>26.384506011873949</v>
      </c>
      <c r="E19" s="28" t="s">
        <v>23</v>
      </c>
      <c r="F19" s="50">
        <f>C19*D19</f>
        <v>0</v>
      </c>
    </row>
    <row r="20" spans="1:8" ht="12.95" customHeight="1" x14ac:dyDescent="0.2">
      <c r="A20" s="29">
        <f t="shared" si="1"/>
        <v>11</v>
      </c>
      <c r="B20" s="118" t="s">
        <v>9</v>
      </c>
      <c r="C20" s="5">
        <f>INDEX(Hospital_Exposure_February, MATCH(February!B20,Hospital_Exposure_Name,0))</f>
        <v>0</v>
      </c>
      <c r="D20" s="17">
        <f>INDEX(Hospital_Exposure_Rate,MATCH(February!B20,Hospital_Exposure_Name,0))</f>
        <v>10.553802404749579</v>
      </c>
      <c r="E20" s="28" t="s">
        <v>23</v>
      </c>
      <c r="F20" s="50">
        <f>C20*D20</f>
        <v>0</v>
      </c>
    </row>
    <row r="21" spans="1:8" ht="12.95" customHeight="1" x14ac:dyDescent="0.2">
      <c r="A21" s="29">
        <f t="shared" si="1"/>
        <v>12</v>
      </c>
      <c r="B21" s="118" t="s">
        <v>10</v>
      </c>
      <c r="C21" s="5">
        <f>INDEX(Hospital_Exposure_February, MATCH(February!B21,Hospital_Exposure_Name,0))</f>
        <v>0</v>
      </c>
      <c r="D21" s="17">
        <f>INDEX(Hospital_Exposure_Rate,MATCH(February!B21,Hospital_Exposure_Name,0))</f>
        <v>79.153518035621843</v>
      </c>
      <c r="E21" s="28" t="s">
        <v>23</v>
      </c>
      <c r="F21" s="50">
        <f t="shared" ref="F21:F23" si="2">C21*D21</f>
        <v>0</v>
      </c>
    </row>
    <row r="22" spans="1:8" ht="12.95" customHeight="1" x14ac:dyDescent="0.2">
      <c r="A22" s="29">
        <f t="shared" si="1"/>
        <v>13</v>
      </c>
      <c r="B22" s="118" t="s">
        <v>11</v>
      </c>
      <c r="C22" s="5">
        <f>INDEX(Hospital_Exposure_February, MATCH(February!B22,Hospital_Exposure_Name,0))</f>
        <v>0</v>
      </c>
      <c r="D22" s="17">
        <f>INDEX(Hospital_Exposure_Rate,MATCH(February!B22,Hospital_Exposure_Name,0))</f>
        <v>79.153518035621843</v>
      </c>
      <c r="E22" s="28" t="s">
        <v>23</v>
      </c>
      <c r="F22" s="50">
        <f t="shared" si="2"/>
        <v>0</v>
      </c>
    </row>
    <row r="23" spans="1:8" ht="12.95" customHeight="1" x14ac:dyDescent="0.2">
      <c r="A23" s="29">
        <f t="shared" si="1"/>
        <v>14</v>
      </c>
      <c r="B23" s="122" t="s">
        <v>117</v>
      </c>
      <c r="C23" s="5">
        <f>INDEX(Hospital_Exposure_February, MATCH(February!B23,Hospital_Exposure_Name,0))</f>
        <v>0</v>
      </c>
      <c r="D23" s="17">
        <f>INDEX(Hospital_Exposure_Rate,MATCH(February!B23,Hospital_Exposure_Name,0))</f>
        <v>341.38512486587695</v>
      </c>
      <c r="E23" s="28" t="s">
        <v>23</v>
      </c>
      <c r="F23" s="50">
        <f t="shared" si="2"/>
        <v>0</v>
      </c>
    </row>
    <row r="24" spans="1:8" ht="12.95" customHeight="1" x14ac:dyDescent="0.2">
      <c r="A24" s="29">
        <f t="shared" si="1"/>
        <v>15</v>
      </c>
      <c r="B24" s="74" t="s">
        <v>136</v>
      </c>
      <c r="C24" s="5">
        <f>INDEX($C$47:$C$113,MATCH(B24,$B$47:$B$113,0))</f>
        <v>80</v>
      </c>
      <c r="D24" s="5">
        <f>INDEX($E$47:$E$113,MATCH(B24,$B$47:$B$113,0))</f>
        <v>1727.2161200254454</v>
      </c>
      <c r="E24" s="28" t="s">
        <v>22</v>
      </c>
      <c r="F24" s="50">
        <f>SUMIF(B46:B112,B24,F46:F112)+SUMIF(B46:B112,B54,K46:K112)</f>
        <v>1381.7728960203563</v>
      </c>
    </row>
    <row r="25" spans="1:8" ht="12.95" customHeight="1" x14ac:dyDescent="0.2">
      <c r="A25" s="29">
        <f t="shared" si="1"/>
        <v>16</v>
      </c>
      <c r="B25" s="4" t="s">
        <v>12</v>
      </c>
      <c r="C25" s="5">
        <f>SUMIF($A$47:$A$113, 1,$D$47:$D$113)</f>
        <v>0</v>
      </c>
      <c r="D25" s="5">
        <f>IFERROR(F25/C25,0)</f>
        <v>0</v>
      </c>
      <c r="E25" s="28" t="s">
        <v>23</v>
      </c>
      <c r="F25" s="51">
        <f>SUMIF($A$46:$A$112, 1,$F$46:$F$112) + SUMIF($A$46:$A$112, 1,$K$46:$K$112)</f>
        <v>0</v>
      </c>
    </row>
    <row r="26" spans="1:8" ht="12.95" customHeight="1" x14ac:dyDescent="0.2">
      <c r="A26" s="29">
        <f t="shared" si="1"/>
        <v>17</v>
      </c>
      <c r="B26" s="4" t="s">
        <v>13</v>
      </c>
      <c r="C26" s="5">
        <f>SUMIF($A$47:$A$113, 2,$D$47:$D$113)</f>
        <v>0</v>
      </c>
      <c r="D26" s="5">
        <f t="shared" ref="D26:D35" si="3">IFERROR(F26/C26,0)</f>
        <v>0</v>
      </c>
      <c r="E26" s="28" t="s">
        <v>23</v>
      </c>
      <c r="F26" s="51">
        <f>SUMIF($A$46:$A$112, 2,$F$46:$F$112) + SUMIF($A$46:$A$112, 2,$K$46:$K$112)</f>
        <v>0</v>
      </c>
    </row>
    <row r="27" spans="1:8" ht="12.95" customHeight="1" x14ac:dyDescent="0.2">
      <c r="A27" s="29">
        <f t="shared" si="1"/>
        <v>18</v>
      </c>
      <c r="B27" s="4" t="s">
        <v>14</v>
      </c>
      <c r="C27" s="5">
        <f>SUMIF($A$47:$A$113, 3,$D$47:$D$113)</f>
        <v>0.50770207119367672</v>
      </c>
      <c r="D27" s="5">
        <f t="shared" si="3"/>
        <v>1951.6566327971132</v>
      </c>
      <c r="E27" s="28" t="s">
        <v>23</v>
      </c>
      <c r="F27" s="51">
        <f>SUMIF($A$46:$A$112, 3,$F$46:$F$112) + SUMIF($A$46:$A$112, 3,$K$46:$K$112)</f>
        <v>990.86011472997131</v>
      </c>
    </row>
    <row r="28" spans="1:8" ht="12.95" customHeight="1" x14ac:dyDescent="0.2">
      <c r="A28" s="29">
        <f t="shared" si="1"/>
        <v>19</v>
      </c>
      <c r="B28" s="4" t="s">
        <v>15</v>
      </c>
      <c r="C28" s="5">
        <f>SUMIF($A$47:$A$113, 4,$D$47:$D$113)</f>
        <v>0</v>
      </c>
      <c r="D28" s="5">
        <f t="shared" si="3"/>
        <v>0</v>
      </c>
      <c r="E28" s="28" t="s">
        <v>23</v>
      </c>
      <c r="F28" s="51">
        <f>SUMIF($A$46:$A$112, 4,$F$46:$F$112) + SUMIF($A$46:$A$112, 4,$K$46:$K$112)</f>
        <v>0</v>
      </c>
    </row>
    <row r="29" spans="1:8" ht="12.95" customHeight="1" x14ac:dyDescent="0.2">
      <c r="A29" s="29">
        <f t="shared" si="1"/>
        <v>20</v>
      </c>
      <c r="B29" s="4" t="s">
        <v>16</v>
      </c>
      <c r="C29" s="5">
        <f>SUMIF($A$47:$A$113, 5,$D$47:$D$113)</f>
        <v>0</v>
      </c>
      <c r="D29" s="5">
        <f t="shared" si="3"/>
        <v>0</v>
      </c>
      <c r="E29" s="28" t="s">
        <v>23</v>
      </c>
      <c r="F29" s="51">
        <f>SUMIF($A$46:$A$112, 5,$F$46:$F$112) + SUMIF($A$46:$A$112, 5,$K$46:$K$112)</f>
        <v>0</v>
      </c>
    </row>
    <row r="30" spans="1:8" ht="12.95" customHeight="1" x14ac:dyDescent="0.2">
      <c r="A30" s="29">
        <f t="shared" si="1"/>
        <v>21</v>
      </c>
      <c r="B30" s="4" t="s">
        <v>17</v>
      </c>
      <c r="C30" s="5">
        <f>SUMIF($A$47:$A$113, 6,$D$47:$D$113)</f>
        <v>0</v>
      </c>
      <c r="D30" s="5">
        <f t="shared" si="3"/>
        <v>0</v>
      </c>
      <c r="E30" s="28" t="s">
        <v>23</v>
      </c>
      <c r="F30" s="51">
        <f>SUMIF($A$46:$A$112, 6,$F$46:$F$112) + SUMIF($A$46:$A$112, 6,$K$46:$K$112)</f>
        <v>0</v>
      </c>
    </row>
    <row r="31" spans="1:8" ht="12.95" customHeight="1" x14ac:dyDescent="0.2">
      <c r="A31" s="29">
        <f t="shared" si="1"/>
        <v>22</v>
      </c>
      <c r="B31" s="4" t="s">
        <v>18</v>
      </c>
      <c r="C31" s="5">
        <f>SUMIF($A$47:$A$113, 7,$D$47:$D$113)</f>
        <v>0</v>
      </c>
      <c r="D31" s="5">
        <f t="shared" si="3"/>
        <v>0</v>
      </c>
      <c r="E31" s="28" t="s">
        <v>23</v>
      </c>
      <c r="F31" s="51">
        <f>SUMIF($A$46:$A$112, 7,$F$46:$F$112) + SUMIF($A$46:$A$112, 7,$K$46:$K$112)</f>
        <v>0</v>
      </c>
    </row>
    <row r="32" spans="1:8" ht="12.95" customHeight="1" x14ac:dyDescent="0.2">
      <c r="A32" s="29">
        <f t="shared" si="1"/>
        <v>23</v>
      </c>
      <c r="B32" s="4" t="s">
        <v>19</v>
      </c>
      <c r="C32" s="5">
        <f>SUMIF($A$47:$A$113, 8,$D$47:$D$113)</f>
        <v>0</v>
      </c>
      <c r="D32" s="5">
        <f t="shared" si="3"/>
        <v>0</v>
      </c>
      <c r="E32" s="28" t="s">
        <v>23</v>
      </c>
      <c r="F32" s="51">
        <f>SUMIF($A$46:$A$112, 8,$F$46:$F$112) + SUMIF($A$46:$A$112, 8,$K$46:$K$112)</f>
        <v>0</v>
      </c>
    </row>
    <row r="33" spans="1:11" ht="12.95" customHeight="1" x14ac:dyDescent="0.2">
      <c r="A33" s="29">
        <f t="shared" si="1"/>
        <v>24</v>
      </c>
      <c r="B33" t="s">
        <v>79</v>
      </c>
      <c r="C33" s="5">
        <f>SUMIF($B$47:$B$113, B33,$D$47:$D$113)</f>
        <v>0</v>
      </c>
      <c r="D33" s="5">
        <f t="shared" si="3"/>
        <v>0</v>
      </c>
      <c r="E33" s="28" t="s">
        <v>23</v>
      </c>
      <c r="F33" s="51">
        <f>SUMIF($B$46:$B$112, B33,$F$46:$F$112) + SUMIF($B$46:$B$112, B33,$K$46:$K$112)</f>
        <v>0</v>
      </c>
    </row>
    <row r="34" spans="1:11" ht="12.95" customHeight="1" x14ac:dyDescent="0.2">
      <c r="A34" s="29">
        <f t="shared" si="1"/>
        <v>25</v>
      </c>
      <c r="B34" t="s">
        <v>20</v>
      </c>
      <c r="C34" s="5">
        <f>SUMIF($B$47:$B$113, B34,$D$47:$D$113)</f>
        <v>0.90578664974326417</v>
      </c>
      <c r="D34" s="5">
        <f t="shared" si="3"/>
        <v>493.76912809766964</v>
      </c>
      <c r="E34" s="28" t="s">
        <v>23</v>
      </c>
      <c r="F34" s="51">
        <f t="shared" ref="F34:F35" si="4">SUMIF($B$46:$B$112, B34,$F$46:$F$112) + SUMIF($B$46:$B$112, B34,$K$46:$K$112)</f>
        <v>447.24948428624083</v>
      </c>
    </row>
    <row r="35" spans="1:11" ht="12.95" customHeight="1" x14ac:dyDescent="0.2">
      <c r="A35" s="29">
        <f t="shared" si="1"/>
        <v>26</v>
      </c>
      <c r="B35" t="s">
        <v>80</v>
      </c>
      <c r="C35" s="5">
        <f>SUMIF($B$47:$B$113, B35,$D$47:$D$113)</f>
        <v>0</v>
      </c>
      <c r="D35" s="5">
        <f t="shared" si="3"/>
        <v>0</v>
      </c>
      <c r="E35" s="28" t="s">
        <v>23</v>
      </c>
      <c r="F35" s="51">
        <f t="shared" si="4"/>
        <v>0</v>
      </c>
    </row>
    <row r="36" spans="1:11" x14ac:dyDescent="0.2">
      <c r="F36" s="50"/>
    </row>
    <row r="37" spans="1:11" x14ac:dyDescent="0.2">
      <c r="F37" s="50"/>
    </row>
    <row r="38" spans="1:11" x14ac:dyDescent="0.2">
      <c r="B38" s="4"/>
      <c r="C38" s="5"/>
      <c r="D38" s="17"/>
      <c r="E38" s="7"/>
      <c r="F38" s="52"/>
    </row>
    <row r="39" spans="1:11" x14ac:dyDescent="0.2">
      <c r="A39" s="31"/>
      <c r="B39" s="53" t="s">
        <v>84</v>
      </c>
      <c r="C39" s="46"/>
      <c r="D39" s="54"/>
      <c r="E39" s="55"/>
      <c r="F39" s="169">
        <f>SUM(F10:F35)</f>
        <v>4811.3850088128138</v>
      </c>
    </row>
    <row r="40" spans="1:11" x14ac:dyDescent="0.2">
      <c r="A40" s="31"/>
      <c r="B40" s="34"/>
      <c r="C40" s="31"/>
      <c r="D40" s="35"/>
      <c r="E40" s="36"/>
      <c r="F40" s="16"/>
    </row>
    <row r="41" spans="1:11" x14ac:dyDescent="0.2">
      <c r="F41" s="10"/>
    </row>
    <row r="42" spans="1:11" x14ac:dyDescent="0.2">
      <c r="F42" s="10"/>
      <c r="H42" s="45" t="s">
        <v>148</v>
      </c>
      <c r="I42" s="45"/>
      <c r="J42" s="45"/>
      <c r="K42" s="45"/>
    </row>
    <row r="43" spans="1:11" ht="25.5" x14ac:dyDescent="0.2">
      <c r="A43" s="23" t="s">
        <v>85</v>
      </c>
      <c r="B43" s="41" t="s">
        <v>86</v>
      </c>
      <c r="C43" s="46" t="s">
        <v>81</v>
      </c>
      <c r="D43" s="47" t="s">
        <v>82</v>
      </c>
      <c r="E43" s="24" t="s">
        <v>27</v>
      </c>
      <c r="F43" s="23" t="s">
        <v>26</v>
      </c>
      <c r="H43" s="44" t="s">
        <v>143</v>
      </c>
      <c r="I43" s="47" t="s">
        <v>82</v>
      </c>
      <c r="J43" s="24" t="s">
        <v>27</v>
      </c>
      <c r="K43" s="23" t="s">
        <v>149</v>
      </c>
    </row>
    <row r="44" spans="1:11" x14ac:dyDescent="0.2">
      <c r="E44" s="8"/>
    </row>
    <row r="45" spans="1:11" x14ac:dyDescent="0.2">
      <c r="E45" s="8"/>
    </row>
    <row r="46" spans="1:11" x14ac:dyDescent="0.2">
      <c r="A46" s="158">
        <v>1</v>
      </c>
      <c r="B46" s="107" t="s">
        <v>28</v>
      </c>
      <c r="C46" s="5">
        <f t="array" ref="C46">SUMIFS(Physician_Visit_February,Physician_Visit_Practice,February!B46,Physician_Visit_Hospitalists, "&lt;&gt;"&amp;'Physician Types'!$D$81)+SUMIFS(Physician_Visit_February,Physician_Visit_Practice,February!B46,Physician_Visit_Hospitalists,'Physician Types'!$D$81)*INDEX(Physician_Type_Hospitalists_Visit_Minutes,MATCH(February!B46,Physician_Type_Practice,0))/INDEX(Physician_Type_Visit_Minutes,MATCH(February!B46,Physician_Type_Practice,0)) +SUMIF(Physician_Minutes_Practice,February!B46,Physician_Minutes_February)/INDEX(Physician_Type_Visit_Minutes,MATCH(February!B46,Physician_Type_Practice,0))</f>
        <v>0</v>
      </c>
      <c r="D46" s="43">
        <f t="shared" ref="D46:D77" si="5">C46*INDEX(Physician_Type_Visit_Minutes,MATCH(B46,Physician_Type_Practice,0))/INDEX(Physician_Type_FTE_Minutes,MATCH(B46,Physician_Type_Practice,0))</f>
        <v>0</v>
      </c>
      <c r="E46" s="17">
        <f>INDEX(Physician_Type_Bed_Rate,MATCH(February!B46,Physician_Type_Practice,0))*'Hospital Input Page'!$C$4</f>
        <v>925.08524394583173</v>
      </c>
      <c r="F46" s="9">
        <f>D46*E46</f>
        <v>0</v>
      </c>
      <c r="H46" s="5">
        <f t="array" ref="H46">SUMIFS(Physician_Visit_February, Physician_Visit_Practice, February!B46, Independent_Contractor_Visits,  'Physician Types'!$D$81) + SUMIFS(Physician_Minutes_February,Physician_Minutes_Practice,February!B46, Independent_Contractor_Minutes, 'Physician Types'!$D$81)/INDEX(Physician_Type_Visit_Minutes,MATCH(February!B46,Physician_Type_Practice,0))</f>
        <v>0</v>
      </c>
      <c r="I46" s="43">
        <f t="shared" ref="I46:I77" si="6">H46*INDEX(Physician_Type_Visit_Minutes,MATCH(B46,Physician_Type_Practice,0))/INDEX(Physician_Type_FTE_Minutes,MATCH(B46,Physician_Type_Practice,0))</f>
        <v>0</v>
      </c>
      <c r="J46" s="10">
        <f>E46*'Physician Types'!$E$4</f>
        <v>27.752557318374951</v>
      </c>
      <c r="K46" s="10">
        <f>I46*J46</f>
        <v>0</v>
      </c>
    </row>
    <row r="47" spans="1:11" x14ac:dyDescent="0.2">
      <c r="A47" s="158">
        <v>1</v>
      </c>
      <c r="B47" s="107" t="s">
        <v>29</v>
      </c>
      <c r="C47" s="5">
        <f t="array" ref="C47">SUMIFS(Physician_Visit_February,Physician_Visit_Practice,February!B47,Physician_Visit_Hospitalists, "&lt;&gt;"&amp;'Physician Types'!$D$81)+SUMIFS(Physician_Visit_February,Physician_Visit_Practice,February!B47,Physician_Visit_Hospitalists,'Physician Types'!$D$81)*INDEX(Physician_Type_Hospitalists_Visit_Minutes,MATCH(February!B47,Physician_Type_Practice,0))/INDEX(Physician_Type_Visit_Minutes,MATCH(February!B47,Physician_Type_Practice,0)) +SUMIF(Physician_Minutes_Practice,February!B47,Physician_Minutes_February)/INDEX(Physician_Type_Visit_Minutes,MATCH(February!B47,Physician_Type_Practice,0))</f>
        <v>0</v>
      </c>
      <c r="D47" s="43">
        <f t="shared" si="5"/>
        <v>0</v>
      </c>
      <c r="E47" s="17">
        <f>INDEX(Physician_Type_Bed_Rate,MATCH(February!B47,Physician_Type_Practice,0))*'Hospital Input Page'!$C$4</f>
        <v>993.39322609373073</v>
      </c>
      <c r="F47" s="9">
        <f t="shared" ref="F47:F111" si="7">D47*E47</f>
        <v>0</v>
      </c>
      <c r="H47" s="5">
        <f t="array" ref="H47">SUMIFS(Physician_Visit_February, Physician_Visit_Practice, February!B47, Independent_Contractor_Visits,  'Physician Types'!$D$81) + SUMIFS(Physician_Minutes_February,Physician_Minutes_Practice,February!B47, Independent_Contractor_Minutes, 'Physician Types'!$D$81)/INDEX(Physician_Type_Visit_Minutes,MATCH(February!B47,Physician_Type_Practice,0))</f>
        <v>0</v>
      </c>
      <c r="I47" s="43">
        <f t="shared" si="6"/>
        <v>0</v>
      </c>
      <c r="J47" s="10">
        <f>E47*'Physician Types'!$E$4</f>
        <v>29.80179678281192</v>
      </c>
      <c r="K47" s="10">
        <f t="shared" ref="K47:K111" si="8">I47*J47</f>
        <v>0</v>
      </c>
    </row>
    <row r="48" spans="1:11" x14ac:dyDescent="0.2">
      <c r="A48" s="158">
        <v>4</v>
      </c>
      <c r="B48" s="102" t="s">
        <v>60</v>
      </c>
      <c r="C48" s="5">
        <f t="array" ref="C48">SUMIFS(Physician_Visit_February,Physician_Visit_Practice,February!B48,Physician_Visit_Hospitalists, "&lt;&gt;"&amp;'Physician Types'!$D$81)+SUMIFS(Physician_Visit_February,Physician_Visit_Practice,February!B48,Physician_Visit_Hospitalists,'Physician Types'!$D$81)*INDEX(Physician_Type_Hospitalists_Visit_Minutes,MATCH(February!B48,Physician_Type_Practice,0))/INDEX(Physician_Type_Visit_Minutes,MATCH(February!B48,Physician_Type_Practice,0)) +SUMIF(Physician_Minutes_Practice,February!B48,Physician_Minutes_February)/INDEX(Physician_Type_Visit_Minutes,MATCH(February!B48,Physician_Type_Practice,0))</f>
        <v>0</v>
      </c>
      <c r="D48" s="43">
        <f t="shared" si="5"/>
        <v>0</v>
      </c>
      <c r="E48" s="17">
        <f>INDEX(Physician_Type_Bed_Rate,MATCH(February!B48,Physician_Type_Practice,0))*'Hospital Input Page'!$C$4</f>
        <v>2699.1411231584075</v>
      </c>
      <c r="F48" s="9">
        <f t="shared" si="7"/>
        <v>0</v>
      </c>
      <c r="H48" s="5">
        <f>SUMIFS(Physician_Visit_February,Physician_Visit_Practice,February!B48,Independent_Contractor_Visits, "&lt;&gt;"&amp;'Physician Types'!$D$81)+SUMIFS(Physician_Visit_February,Physician_Visit_Practice,February!B48,Independent_Contractor_Visits,'Physician Types'!$D$81)*INDEX(Physician_Type_Hospitalists_Visit_Minutes,MATCH(February!B48,Physician_Type_Practice,0))/INDEX(Physician_Type_Visit_Minutes,MATCH(February!B48,Physician_Type_Practice,0)) +SUMIF(Physician_Minutes_Practice,February!B48,Physician_Minutes_February)/INDEX(Physician_Type_Visit_Minutes,MATCH(February!B48,Physician_Type_Practice,0))</f>
        <v>0</v>
      </c>
      <c r="I48" s="43">
        <f t="shared" si="6"/>
        <v>0</v>
      </c>
      <c r="J48" s="10">
        <f>E48*'Physician Types'!$E$4</f>
        <v>80.974233694752215</v>
      </c>
      <c r="K48" s="10">
        <f t="shared" si="8"/>
        <v>0</v>
      </c>
    </row>
    <row r="49" spans="1:11" x14ac:dyDescent="0.2">
      <c r="A49" s="158">
        <v>4</v>
      </c>
      <c r="B49" s="102" t="s">
        <v>61</v>
      </c>
      <c r="C49" s="5">
        <f t="array" ref="C49">SUMIFS(Physician_Visit_February,Physician_Visit_Practice,February!B49,Physician_Visit_Hospitalists, "&lt;&gt;"&amp;'Physician Types'!$D$81)+SUMIFS(Physician_Visit_February,Physician_Visit_Practice,February!B49,Physician_Visit_Hospitalists,'Physician Types'!$D$81)*INDEX(Physician_Type_Hospitalists_Visit_Minutes,MATCH(February!B49,Physician_Type_Practice,0))/INDEX(Physician_Type_Visit_Minutes,MATCH(February!B49,Physician_Type_Practice,0)) +SUMIF(Physician_Minutes_Practice,February!B49,Physician_Minutes_February)/INDEX(Physician_Type_Visit_Minutes,MATCH(February!B49,Physician_Type_Practice,0))</f>
        <v>0</v>
      </c>
      <c r="D49" s="43">
        <f t="shared" si="5"/>
        <v>0</v>
      </c>
      <c r="E49" s="17">
        <f>INDEX(Physician_Type_Bed_Rate,MATCH(February!B49,Physician_Type_Practice,0))*'Hospital Input Page'!$C$4</f>
        <v>3071.9075400226566</v>
      </c>
      <c r="F49" s="9">
        <f t="shared" si="7"/>
        <v>0</v>
      </c>
      <c r="H49" s="5">
        <f>SUMIFS(Physician_Visit_February,Physician_Visit_Practice,February!B49,Independent_Contractor_Visits, "&lt;&gt;"&amp;'Physician Types'!$D$81)+SUMIFS(Physician_Visit_February,Physician_Visit_Practice,February!B49,Independent_Contractor_Visits,'Physician Types'!$D$81)*INDEX(Physician_Type_Hospitalists_Visit_Minutes,MATCH(February!B49,Physician_Type_Practice,0))/INDEX(Physician_Type_Visit_Minutes,MATCH(February!B49,Physician_Type_Practice,0)) +SUMIF(Physician_Minutes_Practice,February!B49,Physician_Minutes_February)/INDEX(Physician_Type_Visit_Minutes,MATCH(February!B49,Physician_Type_Practice,0))</f>
        <v>0</v>
      </c>
      <c r="I49" s="43">
        <f t="shared" si="6"/>
        <v>0</v>
      </c>
      <c r="J49" s="10">
        <f>E49*'Physician Types'!$E$4</f>
        <v>92.157226200679688</v>
      </c>
      <c r="K49" s="10">
        <f t="shared" si="8"/>
        <v>0</v>
      </c>
    </row>
    <row r="50" spans="1:11" x14ac:dyDescent="0.2">
      <c r="A50" s="158">
        <v>2</v>
      </c>
      <c r="B50" s="107" t="s">
        <v>34</v>
      </c>
      <c r="C50" s="5">
        <f t="array" ref="C50">SUMIFS(Physician_Visit_February,Physician_Visit_Practice,February!B50,Physician_Visit_Hospitalists, "&lt;&gt;"&amp;'Physician Types'!$D$81)+SUMIFS(Physician_Visit_February,Physician_Visit_Practice,February!B50,Physician_Visit_Hospitalists,'Physician Types'!$D$81)*INDEX(Physician_Type_Hospitalists_Visit_Minutes,MATCH(February!B50,Physician_Type_Practice,0))/INDEX(Physician_Type_Visit_Minutes,MATCH(February!B50,Physician_Type_Practice,0)) +SUMIF(Physician_Minutes_Practice,February!B50,Physician_Minutes_February)/INDEX(Physician_Type_Visit_Minutes,MATCH(February!B50,Physician_Type_Practice,0))</f>
        <v>0</v>
      </c>
      <c r="D50" s="43">
        <f t="shared" si="5"/>
        <v>0</v>
      </c>
      <c r="E50" s="17">
        <f>INDEX(Physician_Type_Bed_Rate,MATCH(February!B50,Physician_Type_Practice,0))*'Hospital Input Page'!$C$4</f>
        <v>1619.8750052216039</v>
      </c>
      <c r="F50" s="9">
        <f t="shared" si="7"/>
        <v>0</v>
      </c>
      <c r="H50" s="5">
        <f>SUMIFS(Physician_Visit_February,Physician_Visit_Practice,February!B50,Independent_Contractor_Visits, "&lt;&gt;"&amp;'Physician Types'!$D$81)+SUMIFS(Physician_Visit_February,Physician_Visit_Practice,February!B50,Independent_Contractor_Visits,'Physician Types'!$D$81)*INDEX(Physician_Type_Hospitalists_Visit_Minutes,MATCH(February!B50,Physician_Type_Practice,0))/INDEX(Physician_Type_Visit_Minutes,MATCH(February!B50,Physician_Type_Practice,0)) +SUMIF(Physician_Minutes_Practice,February!B50,Physician_Minutes_February)/INDEX(Physician_Type_Visit_Minutes,MATCH(February!B50,Physician_Type_Practice,0))</f>
        <v>0</v>
      </c>
      <c r="I50" s="43">
        <f t="shared" si="6"/>
        <v>0</v>
      </c>
      <c r="J50" s="10">
        <f>E50*'Physician Types'!$E$4</f>
        <v>48.596250156648118</v>
      </c>
      <c r="K50" s="10">
        <f t="shared" si="8"/>
        <v>0</v>
      </c>
    </row>
    <row r="51" spans="1:11" x14ac:dyDescent="0.2">
      <c r="A51" s="158">
        <v>7</v>
      </c>
      <c r="B51" s="102" t="s">
        <v>72</v>
      </c>
      <c r="C51" s="5">
        <f t="array" ref="C51">SUMIFS(Physician_Visit_February,Physician_Visit_Practice,February!B51,Physician_Visit_Hospitalists, "&lt;&gt;"&amp;'Physician Types'!$D$81)+SUMIFS(Physician_Visit_February,Physician_Visit_Practice,February!B51,Physician_Visit_Hospitalists,'Physician Types'!$D$81)*INDEX(Physician_Type_Hospitalists_Visit_Minutes,MATCH(February!B51,Physician_Type_Practice,0))/INDEX(Physician_Type_Visit_Minutes,MATCH(February!B51,Physician_Type_Practice,0)) +SUMIF(Physician_Minutes_Practice,February!B51,Physician_Minutes_February)/INDEX(Physician_Type_Visit_Minutes,MATCH(February!B51,Physician_Type_Practice,0))</f>
        <v>0</v>
      </c>
      <c r="D51" s="43">
        <f t="shared" si="5"/>
        <v>0</v>
      </c>
      <c r="E51" s="17">
        <f>INDEX(Physician_Type_Bed_Rate,MATCH(February!B51,Physician_Type_Practice,0))*'Hospital Input Page'!$C$4</f>
        <v>7974.4690016090053</v>
      </c>
      <c r="F51" s="9">
        <f t="shared" si="7"/>
        <v>0</v>
      </c>
      <c r="H51" s="5">
        <f>SUMIFS(Physician_Visit_February,Physician_Visit_Practice,February!B51,Independent_Contractor_Visits, "&lt;&gt;"&amp;'Physician Types'!$D$81)+SUMIFS(Physician_Visit_February,Physician_Visit_Practice,February!B51,Independent_Contractor_Visits,'Physician Types'!$D$81)*INDEX(Physician_Type_Hospitalists_Visit_Minutes,MATCH(February!B51,Physician_Type_Practice,0))/INDEX(Physician_Type_Visit_Minutes,MATCH(February!B51,Physician_Type_Practice,0)) +SUMIF(Physician_Minutes_Practice,February!B51,Physician_Minutes_February)/INDEX(Physician_Type_Visit_Minutes,MATCH(February!B51,Physician_Type_Practice,0))</f>
        <v>0</v>
      </c>
      <c r="I51" s="43">
        <f t="shared" si="6"/>
        <v>0</v>
      </c>
      <c r="J51" s="10">
        <f>E51*'Physician Types'!$E$4</f>
        <v>239.23407004827015</v>
      </c>
      <c r="K51" s="10">
        <f t="shared" si="8"/>
        <v>0</v>
      </c>
    </row>
    <row r="52" spans="1:11" x14ac:dyDescent="0.2">
      <c r="A52" s="158">
        <v>6</v>
      </c>
      <c r="B52" s="102" t="s">
        <v>69</v>
      </c>
      <c r="C52" s="5">
        <f t="array" ref="C52">SUMIFS(Physician_Visit_February,Physician_Visit_Practice,February!B52,Physician_Visit_Hospitalists, "&lt;&gt;"&amp;'Physician Types'!$D$81)+SUMIFS(Physician_Visit_February,Physician_Visit_Practice,February!B52,Physician_Visit_Hospitalists,'Physician Types'!$D$81)*INDEX(Physician_Type_Hospitalists_Visit_Minutes,MATCH(February!B52,Physician_Type_Practice,0))/INDEX(Physician_Type_Visit_Minutes,MATCH(February!B52,Physician_Type_Practice,0)) +SUMIF(Physician_Minutes_Practice,February!B52,Physician_Minutes_February)/INDEX(Physician_Type_Visit_Minutes,MATCH(February!B52,Physician_Type_Practice,0))</f>
        <v>0</v>
      </c>
      <c r="D52" s="43">
        <f t="shared" si="5"/>
        <v>0</v>
      </c>
      <c r="E52" s="17">
        <f>INDEX(Physician_Type_Bed_Rate,MATCH(February!B52,Physician_Type_Practice,0))*'Hospital Input Page'!$C$4</f>
        <v>3534.4501619955722</v>
      </c>
      <c r="F52" s="9">
        <f t="shared" si="7"/>
        <v>0</v>
      </c>
      <c r="H52" s="5">
        <f>SUMIFS(Physician_Visit_February,Physician_Visit_Practice,February!B52,Independent_Contractor_Visits, "&lt;&gt;"&amp;'Physician Types'!$D$81)+SUMIFS(Physician_Visit_February,Physician_Visit_Practice,February!B52,Independent_Contractor_Visits,'Physician Types'!$D$81)*INDEX(Physician_Type_Hospitalists_Visit_Minutes,MATCH(February!B52,Physician_Type_Practice,0))/INDEX(Physician_Type_Visit_Minutes,MATCH(February!B52,Physician_Type_Practice,0)) +SUMIF(Physician_Minutes_Practice,February!B52,Physician_Minutes_February)/INDEX(Physician_Type_Visit_Minutes,MATCH(February!B52,Physician_Type_Practice,0))</f>
        <v>0</v>
      </c>
      <c r="I52" s="43">
        <f t="shared" si="6"/>
        <v>0</v>
      </c>
      <c r="J52" s="10">
        <f>E52*'Physician Types'!$E$4</f>
        <v>106.03350485986716</v>
      </c>
      <c r="K52" s="10">
        <f t="shared" si="8"/>
        <v>0</v>
      </c>
    </row>
    <row r="53" spans="1:11" x14ac:dyDescent="0.2">
      <c r="A53" s="158">
        <v>2</v>
      </c>
      <c r="B53" s="107" t="s">
        <v>35</v>
      </c>
      <c r="C53" s="5">
        <f t="array" ref="C53">SUMIFS(Physician_Visit_February,Physician_Visit_Practice,February!B53,Physician_Visit_Hospitalists, "&lt;&gt;"&amp;'Physician Types'!$D$81)+SUMIFS(Physician_Visit_February,Physician_Visit_Practice,February!B53,Physician_Visit_Hospitalists,'Physician Types'!$D$81)*INDEX(Physician_Type_Hospitalists_Visit_Minutes,MATCH(February!B53,Physician_Type_Practice,0))/INDEX(Physician_Type_Visit_Minutes,MATCH(February!B53,Physician_Type_Practice,0)) +SUMIF(Physician_Minutes_Practice,February!B53,Physician_Minutes_February)/INDEX(Physician_Type_Visit_Minutes,MATCH(February!B53,Physician_Type_Practice,0))</f>
        <v>0</v>
      </c>
      <c r="D53" s="43">
        <f t="shared" si="5"/>
        <v>0</v>
      </c>
      <c r="E53" s="17">
        <f>INDEX(Physician_Type_Bed_Rate,MATCH(February!B53,Physician_Type_Practice,0))*'Hospital Input Page'!$C$4</f>
        <v>993.39322609373073</v>
      </c>
      <c r="F53" s="9">
        <f t="shared" si="7"/>
        <v>0</v>
      </c>
      <c r="H53" s="5">
        <f>SUMIFS(Physician_Visit_February,Physician_Visit_Practice,February!B53,Independent_Contractor_Visits, "&lt;&gt;"&amp;'Physician Types'!$D$81)+SUMIFS(Physician_Visit_February,Physician_Visit_Practice,February!B53,Independent_Contractor_Visits,'Physician Types'!$D$81)*INDEX(Physician_Type_Hospitalists_Visit_Minutes,MATCH(February!B53,Physician_Type_Practice,0))/INDEX(Physician_Type_Visit_Minutes,MATCH(February!B53,Physician_Type_Practice,0)) +SUMIF(Physician_Minutes_Practice,February!B53,Physician_Minutes_February)/INDEX(Physician_Type_Visit_Minutes,MATCH(February!B53,Physician_Type_Practice,0))</f>
        <v>0</v>
      </c>
      <c r="I53" s="43">
        <f t="shared" si="6"/>
        <v>0</v>
      </c>
      <c r="J53" s="10">
        <f>E53*'Physician Types'!$E$4</f>
        <v>29.80179678281192</v>
      </c>
      <c r="K53" s="10">
        <f t="shared" si="8"/>
        <v>0</v>
      </c>
    </row>
    <row r="54" spans="1:11" x14ac:dyDescent="0.2">
      <c r="A54" s="158"/>
      <c r="B54" s="161" t="s">
        <v>136</v>
      </c>
      <c r="C54" s="5">
        <f t="array" ref="C54">SUMIFS(Physician_Visit_February,Physician_Visit_Practice,February!B54,Physician_Visit_Hospitalists, "&lt;&gt;"&amp;'Physician Types'!$D$81)+SUMIFS(Physician_Visit_February,Physician_Visit_Practice,February!B54,Physician_Visit_Hospitalists,'Physician Types'!$D$81)*INDEX(Physician_Type_Hospitalists_Visit_Minutes,MATCH(February!B54,Physician_Type_Practice,0))/INDEX(Physician_Type_Visit_Minutes,MATCH(February!B54,Physician_Type_Practice,0)) +SUMIF(Physician_Minutes_Practice,February!B54,Physician_Minutes_February)/INDEX(Physician_Type_Visit_Minutes,MATCH(February!B54,Physician_Type_Practice,0))</f>
        <v>80</v>
      </c>
      <c r="D54" s="43">
        <f t="shared" si="5"/>
        <v>0.11538683436219926</v>
      </c>
      <c r="E54" s="17">
        <f>INDEX(Physician_Type_Bed_Rate,MATCH(February!B54,Physician_Type_Practice,0))*'Hospital Input Page'!$C$4</f>
        <v>1727.2161200254454</v>
      </c>
      <c r="F54" s="9">
        <f>C54*E54/100</f>
        <v>1381.7728960203563</v>
      </c>
      <c r="H54" s="5">
        <f t="array" ref="H54">SUMIFS(Physician_Visit_February, Physician_Visit_Practice, February!B54, Independent_Contractor_Visits, 'Physician Types'!$D$81)</f>
        <v>0</v>
      </c>
      <c r="I54" s="43">
        <f t="shared" si="6"/>
        <v>0</v>
      </c>
      <c r="J54" s="10">
        <f>E54*'Physician Types'!$E$4</f>
        <v>51.816483600763362</v>
      </c>
      <c r="K54" s="10">
        <f t="shared" si="8"/>
        <v>0</v>
      </c>
    </row>
    <row r="55" spans="1:11" x14ac:dyDescent="0.2">
      <c r="A55" s="158">
        <v>2</v>
      </c>
      <c r="B55" s="107" t="s">
        <v>36</v>
      </c>
      <c r="C55" s="5">
        <f t="array" ref="C55">SUMIFS(Physician_Visit_February,Physician_Visit_Practice,February!B55,Physician_Visit_Hospitalists, "&lt;&gt;"&amp;'Physician Types'!$D$81)+SUMIFS(Physician_Visit_February,Physician_Visit_Practice,February!B55,Physician_Visit_Hospitalists,'Physician Types'!$D$81)*INDEX(Physician_Type_Hospitalists_Visit_Minutes,MATCH(February!B55,Physician_Type_Practice,0))/INDEX(Physician_Type_Visit_Minutes,MATCH(February!B55,Physician_Type_Practice,0)) +SUMIF(Physician_Minutes_Practice,February!B55,Physician_Minutes_February)/INDEX(Physician_Type_Visit_Minutes,MATCH(February!B55,Physician_Type_Practice,0))</f>
        <v>0</v>
      </c>
      <c r="D55" s="43">
        <f t="shared" si="5"/>
        <v>0</v>
      </c>
      <c r="E55" s="17">
        <f>INDEX(Physician_Type_Bed_Rate,MATCH(February!B55,Physician_Type_Practice,0))*'Hospital Input Page'!$C$4</f>
        <v>2544.9602491674359</v>
      </c>
      <c r="F55" s="9">
        <f t="shared" si="7"/>
        <v>0</v>
      </c>
      <c r="H55" s="5">
        <f>SUMIFS(Physician_Visit_February,Physician_Visit_Practice,February!B55,Independent_Contractor_Visits, "&lt;&gt;"&amp;'Physician Types'!$D$81)+SUMIFS(Physician_Visit_February,Physician_Visit_Practice,February!B55,Independent_Contractor_Visits,'Physician Types'!$D$81)*INDEX(Physician_Type_Hospitalists_Visit_Minutes,MATCH(February!B55,Physician_Type_Practice,0))/INDEX(Physician_Type_Visit_Minutes,MATCH(February!B55,Physician_Type_Practice,0)) +SUMIF(Physician_Minutes_Practice,February!B55,Physician_Minutes_February)/INDEX(Physician_Type_Visit_Minutes,MATCH(February!B55,Physician_Type_Practice,0))</f>
        <v>0</v>
      </c>
      <c r="I55" s="43">
        <f t="shared" si="6"/>
        <v>0</v>
      </c>
      <c r="J55" s="10">
        <f>E55*'Physician Types'!$E$4</f>
        <v>76.348807475023079</v>
      </c>
      <c r="K55" s="10">
        <f t="shared" si="8"/>
        <v>0</v>
      </c>
    </row>
    <row r="56" spans="1:11" x14ac:dyDescent="0.2">
      <c r="A56" s="158">
        <v>2</v>
      </c>
      <c r="B56" s="107" t="s">
        <v>37</v>
      </c>
      <c r="C56" s="5">
        <f t="array" ref="C56">SUMIFS(Physician_Visit_February,Physician_Visit_Practice,February!B56,Physician_Visit_Hospitalists, "&lt;&gt;"&amp;'Physician Types'!$D$81)+SUMIFS(Physician_Visit_February,Physician_Visit_Practice,February!B56,Physician_Visit_Hospitalists,'Physician Types'!$D$81)*INDEX(Physician_Type_Hospitalists_Visit_Minutes,MATCH(February!B56,Physician_Type_Practice,0))/INDEX(Physician_Type_Visit_Minutes,MATCH(February!B56,Physician_Type_Practice,0)) +SUMIF(Physician_Minutes_Practice,February!B56,Physician_Minutes_February)/INDEX(Physician_Type_Visit_Minutes,MATCH(February!B56,Physician_Type_Practice,0))</f>
        <v>0</v>
      </c>
      <c r="D56" s="43">
        <f t="shared" si="5"/>
        <v>0</v>
      </c>
      <c r="E56" s="17">
        <f>INDEX(Physician_Type_Bed_Rate,MATCH(February!B56,Physician_Type_Practice,0))*'Hospital Input Page'!$C$4</f>
        <v>1567.1802761360821</v>
      </c>
      <c r="F56" s="9">
        <f t="shared" si="7"/>
        <v>0</v>
      </c>
      <c r="H56" s="5">
        <f t="array" ref="H56">SUMIFS(Physician_Visit_February, Physician_Visit_Practice, February!B56, Independent_Contractor_Visits,  'Physician Types'!$D$81) + SUMIFS(Physician_Minutes_February,Physician_Minutes_Practice,February!B56, Independent_Contractor_Minutes, 'Physician Types'!$D$81)/INDEX(Physician_Type_Visit_Minutes,MATCH(February!B56,Physician_Type_Practice,0))</f>
        <v>0</v>
      </c>
      <c r="I56" s="43">
        <f t="shared" si="6"/>
        <v>0</v>
      </c>
      <c r="J56" s="10">
        <f>E56*'Physician Types'!$E$4</f>
        <v>47.015408284082461</v>
      </c>
      <c r="K56" s="10">
        <f t="shared" si="8"/>
        <v>0</v>
      </c>
    </row>
    <row r="57" spans="1:11" x14ac:dyDescent="0.2">
      <c r="A57" s="158">
        <v>2</v>
      </c>
      <c r="B57" s="107" t="s">
        <v>38</v>
      </c>
      <c r="C57" s="5">
        <f t="array" ref="C57">SUMIFS(Physician_Visit_February,Physician_Visit_Practice,February!B57,Physician_Visit_Hospitalists, "&lt;&gt;"&amp;'Physician Types'!$D$81)+SUMIFS(Physician_Visit_February,Physician_Visit_Practice,February!B57,Physician_Visit_Hospitalists,'Physician Types'!$D$81)*INDEX(Physician_Type_Hospitalists_Visit_Minutes,MATCH(February!B57,Physician_Type_Practice,0))/INDEX(Physician_Type_Visit_Minutes,MATCH(February!B57,Physician_Type_Practice,0)) +SUMIF(Physician_Minutes_Practice,February!B57,Physician_Minutes_February)/INDEX(Physician_Type_Visit_Minutes,MATCH(February!B57,Physician_Type_Practice,0))</f>
        <v>0</v>
      </c>
      <c r="D57" s="43">
        <f t="shared" si="5"/>
        <v>0</v>
      </c>
      <c r="E57" s="17">
        <f>INDEX(Physician_Type_Bed_Rate,MATCH(February!B57,Physician_Type_Practice,0))*'Hospital Input Page'!$C$4</f>
        <v>4399.0340503246935</v>
      </c>
      <c r="F57" s="9">
        <f t="shared" si="7"/>
        <v>0</v>
      </c>
      <c r="H57" s="5">
        <f t="array" ref="H57">SUMIFS(Physician_Visit_February, Physician_Visit_Practice, February!B57, Independent_Contractor_Visits,  'Physician Types'!$D$81) + SUMIFS(Physician_Minutes_February,Physician_Minutes_Practice,February!B57, Independent_Contractor_Minutes, 'Physician Types'!$D$81)/INDEX(Physician_Type_Visit_Minutes,MATCH(February!B57,Physician_Type_Practice,0))</f>
        <v>0</v>
      </c>
      <c r="I57" s="43">
        <f t="shared" si="6"/>
        <v>0</v>
      </c>
      <c r="J57" s="10">
        <f>E57*'Physician Types'!$E$4</f>
        <v>131.97102150974081</v>
      </c>
      <c r="K57" s="10">
        <f t="shared" si="8"/>
        <v>0</v>
      </c>
    </row>
    <row r="58" spans="1:11" x14ac:dyDescent="0.2">
      <c r="A58" s="158">
        <v>3</v>
      </c>
      <c r="B58" s="161" t="s">
        <v>155</v>
      </c>
      <c r="C58" s="5">
        <f t="array" ref="C58">SUMIFS(Physician_Visit_February,Physician_Visit_Practice,February!B58,Physician_Visit_Hospitalists, "&lt;&gt;"&amp;'Physician Types'!$D$81)+SUMIFS(Physician_Visit_February,Physician_Visit_Practice,February!B58,Physician_Visit_Hospitalists,'Physician Types'!$D$81)*INDEX(Physician_Type_Hospitalists_Visit_Minutes,MATCH(February!B58,Physician_Type_Practice,0))/INDEX(Physician_Type_Visit_Minutes,MATCH(February!B58,Physician_Type_Practice,0)) +SUMIF(Physician_Minutes_Practice,February!B58,Physician_Minutes_February)/INDEX(Physician_Type_Visit_Minutes,MATCH(February!B58,Physician_Type_Practice,0))</f>
        <v>264</v>
      </c>
      <c r="D58" s="43">
        <f t="shared" si="5"/>
        <v>0.50770207119367672</v>
      </c>
      <c r="E58" s="17">
        <f>INDEX(Physician_Type_Bed_Rate,MATCH(February!B58,Physician_Type_Practice,0))*'Hospital Input Page'!$C$4</f>
        <v>1951.6566327971132</v>
      </c>
      <c r="F58" s="9">
        <f t="shared" si="7"/>
        <v>990.86011472997131</v>
      </c>
      <c r="H58" s="5">
        <f t="array" ref="H58">SUMIFS(Physician_Visit_February, Physician_Visit_Practice, February!B58, Independent_Contractor_Visits,  'Physician Types'!$D$81) + SUMIFS(Physician_Minutes_February,Physician_Minutes_Practice,February!B58, Independent_Contractor_Minutes, 'Physician Types'!$D$81)/INDEX(Physician_Type_Visit_Minutes,MATCH(February!B58,Physician_Type_Practice,0))</f>
        <v>0</v>
      </c>
      <c r="I58" s="43">
        <f t="shared" si="6"/>
        <v>0</v>
      </c>
      <c r="J58" s="10">
        <f>E58*'Physician Types'!$E$4</f>
        <v>58.549698983913395</v>
      </c>
      <c r="K58" s="10">
        <f t="shared" si="8"/>
        <v>0</v>
      </c>
    </row>
    <row r="59" spans="1:11" x14ac:dyDescent="0.2">
      <c r="A59" s="158">
        <v>5</v>
      </c>
      <c r="B59" s="161" t="s">
        <v>137</v>
      </c>
      <c r="C59" s="5">
        <f t="array" ref="C59">SUMIFS(Physician_Visit_February,Physician_Visit_Practice,February!B59,Physician_Visit_Hospitalists, "&lt;&gt;"&amp;'Physician Types'!$D$81)+SUMIFS(Physician_Visit_February,Physician_Visit_Practice,February!B59,Physician_Visit_Hospitalists,'Physician Types'!$D$81)*INDEX(Physician_Type_Hospitalists_Visit_Minutes,MATCH(February!B59,Physician_Type_Practice,0))/INDEX(Physician_Type_Visit_Minutes,MATCH(February!B59,Physician_Type_Practice,0)) +SUMIF(Physician_Minutes_Practice,February!B59,Physician_Minutes_February)/INDEX(Physician_Type_Visit_Minutes,MATCH(February!B59,Physician_Type_Practice,0))</f>
        <v>0</v>
      </c>
      <c r="D59" s="43">
        <f t="shared" si="5"/>
        <v>0</v>
      </c>
      <c r="E59" s="17">
        <f>INDEX(Physician_Type_Bed_Rate,MATCH(February!B59,Physician_Type_Practice,0))*'Hospital Input Page'!$C$4</f>
        <v>4933.7879677111023</v>
      </c>
      <c r="F59" s="9">
        <f t="shared" si="7"/>
        <v>0</v>
      </c>
      <c r="H59" s="5">
        <f t="array" ref="H59">SUMIFS(Physician_Visit_February, Physician_Visit_Practice, February!B59, Independent_Contractor_Visits,  'Physician Types'!$D$81) + SUMIFS(Physician_Minutes_February,Physician_Minutes_Practice,February!B59, Independent_Contractor_Minutes, 'Physician Types'!$D$81)/INDEX(Physician_Type_Visit_Minutes,MATCH(February!B59,Physician_Type_Practice,0))</f>
        <v>0</v>
      </c>
      <c r="I59" s="43">
        <f t="shared" si="6"/>
        <v>0</v>
      </c>
      <c r="J59" s="10">
        <f>E59*'Physician Types'!$E$4</f>
        <v>148.01363903133307</v>
      </c>
      <c r="K59" s="10">
        <f t="shared" si="8"/>
        <v>0</v>
      </c>
    </row>
    <row r="60" spans="1:11" x14ac:dyDescent="0.2">
      <c r="A60" s="158">
        <v>6</v>
      </c>
      <c r="B60" s="102" t="s">
        <v>70</v>
      </c>
      <c r="C60" s="5">
        <f t="array" ref="C60">SUMIFS(Physician_Visit_February,Physician_Visit_Practice,February!B60,Physician_Visit_Hospitalists, "&lt;&gt;"&amp;'Physician Types'!$D$81)+SUMIFS(Physician_Visit_February,Physician_Visit_Practice,February!B60,Physician_Visit_Hospitalists,'Physician Types'!$D$81)*INDEX(Physician_Type_Hospitalists_Visit_Minutes,MATCH(February!B60,Physician_Type_Practice,0))/INDEX(Physician_Type_Visit_Minutes,MATCH(February!B60,Physician_Type_Practice,0)) +SUMIF(Physician_Minutes_Practice,February!B60,Physician_Minutes_February)/INDEX(Physician_Type_Visit_Minutes,MATCH(February!B60,Physician_Type_Practice,0))</f>
        <v>0</v>
      </c>
      <c r="D60" s="43">
        <f t="shared" si="5"/>
        <v>0</v>
      </c>
      <c r="E60" s="17">
        <f>INDEX(Physician_Type_Bed_Rate,MATCH(February!B60,Physician_Type_Practice,0))*'Hospital Input Page'!$C$4</f>
        <v>5179.6967034435384</v>
      </c>
      <c r="F60" s="9">
        <f t="shared" si="7"/>
        <v>0</v>
      </c>
      <c r="H60" s="5">
        <f t="array" ref="H60">SUMIFS(Physician_Visit_February, Physician_Visit_Practice, February!B60, Independent_Contractor_Visits,  'Physician Types'!$D$81) + SUMIFS(Physician_Minutes_February,Physician_Minutes_Practice,February!B60, Independent_Contractor_Minutes, 'Physician Types'!$D$81)/INDEX(Physician_Type_Visit_Minutes,MATCH(February!B60,Physician_Type_Practice,0))</f>
        <v>0</v>
      </c>
      <c r="I60" s="43">
        <f t="shared" si="6"/>
        <v>0</v>
      </c>
      <c r="J60" s="10">
        <f>E60*'Physician Types'!$E$4</f>
        <v>155.39090110330613</v>
      </c>
      <c r="K60" s="10">
        <f t="shared" si="8"/>
        <v>0</v>
      </c>
    </row>
    <row r="61" spans="1:11" x14ac:dyDescent="0.2">
      <c r="A61" s="158">
        <v>2</v>
      </c>
      <c r="B61" s="107" t="s">
        <v>39</v>
      </c>
      <c r="C61" s="5">
        <f t="array" ref="C61">SUMIFS(Physician_Visit_February,Physician_Visit_Practice,February!B61,Physician_Visit_Hospitalists, "&lt;&gt;"&amp;'Physician Types'!$D$81)+SUMIFS(Physician_Visit_February,Physician_Visit_Practice,February!B61,Physician_Visit_Hospitalists,'Physician Types'!$D$81)*INDEX(Physician_Type_Hospitalists_Visit_Minutes,MATCH(February!B61,Physician_Type_Practice,0))/INDEX(Physician_Type_Visit_Minutes,MATCH(February!B61,Physician_Type_Practice,0)) +SUMIF(Physician_Minutes_Practice,February!B61,Physician_Minutes_February)/INDEX(Physician_Type_Visit_Minutes,MATCH(February!B61,Physician_Type_Practice,0))</f>
        <v>0</v>
      </c>
      <c r="D61" s="43">
        <f t="shared" si="5"/>
        <v>0</v>
      </c>
      <c r="E61" s="17">
        <f>INDEX(Physician_Type_Bed_Rate,MATCH(February!B61,Physician_Type_Practice,0))*'Hospital Input Page'!$C$4</f>
        <v>2539.1052792690443</v>
      </c>
      <c r="F61" s="9">
        <f t="shared" si="7"/>
        <v>0</v>
      </c>
      <c r="H61" s="5">
        <f t="array" ref="H61">SUMIFS(Physician_Visit_February, Physician_Visit_Practice, February!B61, Independent_Contractor_Visits,  'Physician Types'!$D$81) + SUMIFS(Physician_Minutes_February,Physician_Minutes_Practice,February!B61, Independent_Contractor_Minutes, 'Physician Types'!$D$81)/INDEX(Physician_Type_Visit_Minutes,MATCH(February!B61,Physician_Type_Practice,0))</f>
        <v>0</v>
      </c>
      <c r="I61" s="43">
        <f t="shared" si="6"/>
        <v>0</v>
      </c>
      <c r="J61" s="10">
        <f>E61*'Physician Types'!$E$4</f>
        <v>76.173158378071321</v>
      </c>
      <c r="K61" s="10">
        <f t="shared" si="8"/>
        <v>0</v>
      </c>
    </row>
    <row r="62" spans="1:11" x14ac:dyDescent="0.2">
      <c r="A62" s="158">
        <v>2</v>
      </c>
      <c r="B62" s="107" t="s">
        <v>40</v>
      </c>
      <c r="C62" s="5">
        <f t="array" ref="C62">SUMIFS(Physician_Visit_February,Physician_Visit_Practice,February!B62,Physician_Visit_Hospitalists, "&lt;&gt;"&amp;'Physician Types'!$D$81)+SUMIFS(Physician_Visit_February,Physician_Visit_Practice,February!B62,Physician_Visit_Hospitalists,'Physician Types'!$D$81)*INDEX(Physician_Type_Hospitalists_Visit_Minutes,MATCH(February!B62,Physician_Type_Practice,0))/INDEX(Physician_Type_Visit_Minutes,MATCH(February!B62,Physician_Type_Practice,0)) +SUMIF(Physician_Minutes_Practice,February!B62,Physician_Minutes_February)/INDEX(Physician_Type_Visit_Minutes,MATCH(February!B62,Physician_Type_Practice,0))</f>
        <v>0</v>
      </c>
      <c r="D62" s="43">
        <f t="shared" si="5"/>
        <v>0</v>
      </c>
      <c r="E62" s="17">
        <f>INDEX(Physician_Type_Bed_Rate,MATCH(February!B62,Physician_Type_Practice,0))*'Hospital Input Page'!$C$4</f>
        <v>1619.8750052216039</v>
      </c>
      <c r="F62" s="9">
        <f t="shared" si="7"/>
        <v>0</v>
      </c>
      <c r="H62" s="5">
        <f t="array" ref="H62">SUMIFS(Physician_Visit_February, Physician_Visit_Practice, February!B62, Independent_Contractor_Visits,  'Physician Types'!$D$81) + SUMIFS(Physician_Minutes_February,Physician_Minutes_Practice,February!B62, Independent_Contractor_Minutes, 'Physician Types'!$D$81)/INDEX(Physician_Type_Visit_Minutes,MATCH(February!B62,Physician_Type_Practice,0))</f>
        <v>0</v>
      </c>
      <c r="I62" s="43">
        <f t="shared" si="6"/>
        <v>0</v>
      </c>
      <c r="J62" s="10">
        <f>E62*'Physician Types'!$E$4</f>
        <v>48.596250156648118</v>
      </c>
      <c r="K62" s="10">
        <f t="shared" si="8"/>
        <v>0</v>
      </c>
    </row>
    <row r="63" spans="1:11" x14ac:dyDescent="0.2">
      <c r="A63" s="158">
        <v>2</v>
      </c>
      <c r="B63" s="107" t="s">
        <v>41</v>
      </c>
      <c r="C63" s="5">
        <f t="array" ref="C63">SUMIFS(Physician_Visit_February,Physician_Visit_Practice,February!B63,Physician_Visit_Hospitalists, "&lt;&gt;"&amp;'Physician Types'!$D$81)+SUMIFS(Physician_Visit_February,Physician_Visit_Practice,February!B63,Physician_Visit_Hospitalists,'Physician Types'!$D$81)*INDEX(Physician_Type_Hospitalists_Visit_Minutes,MATCH(February!B63,Physician_Type_Practice,0))/INDEX(Physician_Type_Visit_Minutes,MATCH(February!B63,Physician_Type_Practice,0)) +SUMIF(Physician_Minutes_Practice,February!B63,Physician_Minutes_February)/INDEX(Physician_Type_Visit_Minutes,MATCH(February!B63,Physician_Type_Practice,0))</f>
        <v>0</v>
      </c>
      <c r="D63" s="43">
        <f t="shared" si="5"/>
        <v>0</v>
      </c>
      <c r="E63" s="17">
        <f>INDEX(Physician_Type_Bed_Rate,MATCH(February!B63,Physician_Type_Practice,0))*'Hospital Input Page'!$C$4</f>
        <v>4844.0117626024357</v>
      </c>
      <c r="F63" s="9">
        <f t="shared" si="7"/>
        <v>0</v>
      </c>
      <c r="H63" s="5">
        <f t="array" ref="H63">SUMIFS(Physician_Visit_February, Physician_Visit_Practice, February!B63, Independent_Contractor_Visits,  'Physician Types'!$D$81) + SUMIFS(Physician_Minutes_February,Physician_Minutes_Practice,February!B63, Independent_Contractor_Minutes, 'Physician Types'!$D$81)/INDEX(Physician_Type_Visit_Minutes,MATCH(February!B63,Physician_Type_Practice,0))</f>
        <v>0</v>
      </c>
      <c r="I63" s="43">
        <f t="shared" si="6"/>
        <v>0</v>
      </c>
      <c r="J63" s="10">
        <f>E63*'Physician Types'!$E$4</f>
        <v>145.32035287807307</v>
      </c>
      <c r="K63" s="10">
        <f t="shared" si="8"/>
        <v>0</v>
      </c>
    </row>
    <row r="64" spans="1:11" x14ac:dyDescent="0.2">
      <c r="A64" s="158">
        <v>6</v>
      </c>
      <c r="B64" s="128" t="s">
        <v>138</v>
      </c>
      <c r="C64" s="5">
        <f t="array" ref="C64">SUMIFS(Physician_Visit_February,Physician_Visit_Practice,February!B64,Physician_Visit_Hospitalists, "&lt;&gt;"&amp;'Physician Types'!$D$81)+SUMIFS(Physician_Visit_February,Physician_Visit_Practice,February!B64,Physician_Visit_Hospitalists,'Physician Types'!$D$81)*INDEX(Physician_Type_Hospitalists_Visit_Minutes,MATCH(February!B64,Physician_Type_Practice,0))/INDEX(Physician_Type_Visit_Minutes,MATCH(February!B64,Physician_Type_Practice,0)) +SUMIF(Physician_Minutes_Practice,February!B64,Physician_Minutes_February)/INDEX(Physician_Type_Visit_Minutes,MATCH(February!B64,Physician_Type_Practice,0))</f>
        <v>0</v>
      </c>
      <c r="D64" s="43">
        <f t="shared" si="5"/>
        <v>0</v>
      </c>
      <c r="E64" s="17">
        <f>INDEX(Physician_Type_Bed_Rate,MATCH(February!B64,Physician_Type_Practice,0))*'Hospital Input Page'!$C$4</f>
        <v>5782.7586029778467</v>
      </c>
      <c r="F64" s="9">
        <f t="shared" si="7"/>
        <v>0</v>
      </c>
      <c r="H64" s="5">
        <f t="array" ref="H64">SUMIFS(Physician_Visit_February, Physician_Visit_Practice, February!B64, Independent_Contractor_Visits,  'Physician Types'!$D$81) + SUMIFS(Physician_Minutes_February,Physician_Minutes_Practice,February!B64, Independent_Contractor_Minutes, 'Physician Types'!$D$81)/INDEX(Physician_Type_Visit_Minutes,MATCH(February!B64,Physician_Type_Practice,0))</f>
        <v>0</v>
      </c>
      <c r="I64" s="43">
        <f t="shared" si="6"/>
        <v>0</v>
      </c>
      <c r="J64" s="10">
        <f>E64*'Physician Types'!$E$4</f>
        <v>173.48275808933539</v>
      </c>
      <c r="K64" s="10">
        <f t="shared" si="8"/>
        <v>0</v>
      </c>
    </row>
    <row r="65" spans="1:11" x14ac:dyDescent="0.2">
      <c r="A65" s="158">
        <v>2</v>
      </c>
      <c r="B65" s="107" t="s">
        <v>42</v>
      </c>
      <c r="C65" s="5">
        <f t="array" ref="C65">SUMIFS(Physician_Visit_February,Physician_Visit_Practice,February!B65,Physician_Visit_Hospitalists, "&lt;&gt;"&amp;'Physician Types'!$D$81)+SUMIFS(Physician_Visit_February,Physician_Visit_Practice,February!B65,Physician_Visit_Hospitalists,'Physician Types'!$D$81)*INDEX(Physician_Type_Hospitalists_Visit_Minutes,MATCH(February!B65,Physician_Type_Practice,0))/INDEX(Physician_Type_Visit_Minutes,MATCH(February!B65,Physician_Type_Practice,0)) +SUMIF(Physician_Minutes_Practice,February!B65,Physician_Minutes_February)/INDEX(Physician_Type_Visit_Minutes,MATCH(February!B65,Physician_Type_Practice,0))</f>
        <v>0</v>
      </c>
      <c r="D65" s="43">
        <f t="shared" si="5"/>
        <v>0</v>
      </c>
      <c r="E65" s="17">
        <f>INDEX(Physician_Type_Bed_Rate,MATCH(February!B65,Physician_Type_Practice,0))*'Hospital Input Page'!$C$4</f>
        <v>1487.1623541914003</v>
      </c>
      <c r="F65" s="9">
        <f t="shared" si="7"/>
        <v>0</v>
      </c>
      <c r="H65" s="5">
        <f t="array" ref="H65">SUMIFS(Physician_Visit_February, Physician_Visit_Practice, February!B65, Independent_Contractor_Visits,  'Physician Types'!$D$81) + SUMIFS(Physician_Minutes_February,Physician_Minutes_Practice,February!B65, Independent_Contractor_Minutes, 'Physician Types'!$D$81)/INDEX(Physician_Type_Visit_Minutes,MATCH(February!B65,Physician_Type_Practice,0))</f>
        <v>0</v>
      </c>
      <c r="I65" s="43">
        <f t="shared" si="6"/>
        <v>0</v>
      </c>
      <c r="J65" s="10">
        <f>E65*'Physician Types'!$E$4</f>
        <v>44.614870625742007</v>
      </c>
      <c r="K65" s="10">
        <f t="shared" si="8"/>
        <v>0</v>
      </c>
    </row>
    <row r="66" spans="1:11" x14ac:dyDescent="0.2">
      <c r="A66" s="158">
        <v>5</v>
      </c>
      <c r="B66" s="102" t="s">
        <v>64</v>
      </c>
      <c r="C66" s="5">
        <f t="array" ref="C66">SUMIFS(Physician_Visit_February,Physician_Visit_Practice,February!B66,Physician_Visit_Hospitalists, "&lt;&gt;"&amp;'Physician Types'!$D$81)+SUMIFS(Physician_Visit_February,Physician_Visit_Practice,February!B66,Physician_Visit_Hospitalists,'Physician Types'!$D$81)*INDEX(Physician_Type_Hospitalists_Visit_Minutes,MATCH(February!B66,Physician_Type_Practice,0))/INDEX(Physician_Type_Visit_Minutes,MATCH(February!B66,Physician_Type_Practice,0)) +SUMIF(Physician_Minutes_Practice,February!B66,Physician_Minutes_February)/INDEX(Physician_Type_Visit_Minutes,MATCH(February!B66,Physician_Type_Practice,0))</f>
        <v>0</v>
      </c>
      <c r="D66" s="43">
        <f t="shared" si="5"/>
        <v>0</v>
      </c>
      <c r="E66" s="17">
        <f>INDEX(Physician_Type_Bed_Rate,MATCH(February!B66,Physician_Type_Practice,0))*'Hospital Input Page'!$C$4</f>
        <v>2406.3926282388406</v>
      </c>
      <c r="F66" s="9">
        <f t="shared" si="7"/>
        <v>0</v>
      </c>
      <c r="H66" s="5">
        <f t="array" ref="H66">SUMIFS(Physician_Visit_February, Physician_Visit_Practice, February!B66, Independent_Contractor_Visits,  'Physician Types'!$D$81) + SUMIFS(Physician_Minutes_February,Physician_Minutes_Practice,February!B66, Independent_Contractor_Minutes, 'Physician Types'!$D$81)/INDEX(Physician_Type_Visit_Minutes,MATCH(February!B66,Physician_Type_Practice,0))</f>
        <v>0</v>
      </c>
      <c r="I66" s="43">
        <f t="shared" si="6"/>
        <v>0</v>
      </c>
      <c r="J66" s="10">
        <f>E66*'Physician Types'!$E$4</f>
        <v>72.19177884716521</v>
      </c>
      <c r="K66" s="10">
        <f t="shared" si="8"/>
        <v>0</v>
      </c>
    </row>
    <row r="67" spans="1:11" x14ac:dyDescent="0.2">
      <c r="A67" s="158">
        <v>5</v>
      </c>
      <c r="B67" s="102" t="s">
        <v>65</v>
      </c>
      <c r="C67" s="5">
        <f t="array" ref="C67">SUMIFS(Physician_Visit_February,Physician_Visit_Practice,February!B67,Physician_Visit_Hospitalists, "&lt;&gt;"&amp;'Physician Types'!$D$81)+SUMIFS(Physician_Visit_February,Physician_Visit_Practice,February!B67,Physician_Visit_Hospitalists,'Physician Types'!$D$81)*INDEX(Physician_Type_Hospitalists_Visit_Minutes,MATCH(February!B67,Physician_Type_Practice,0))/INDEX(Physician_Type_Visit_Minutes,MATCH(February!B67,Physician_Type_Practice,0)) +SUMIF(Physician_Minutes_Practice,February!B67,Physician_Minutes_February)/INDEX(Physician_Type_Visit_Minutes,MATCH(February!B67,Physician_Type_Practice,0))</f>
        <v>0</v>
      </c>
      <c r="D67" s="43">
        <f t="shared" si="5"/>
        <v>0</v>
      </c>
      <c r="E67" s="17">
        <f>INDEX(Physician_Type_Bed_Rate,MATCH(February!B67,Physician_Type_Practice,0))*'Hospital Input Page'!$C$4</f>
        <v>1487.1623541914003</v>
      </c>
      <c r="F67" s="9">
        <f t="shared" si="7"/>
        <v>0</v>
      </c>
      <c r="H67" s="5">
        <f t="array" ref="H67">SUMIFS(Physician_Visit_February, Physician_Visit_Practice, February!B67, Independent_Contractor_Visits,  'Physician Types'!$D$81) + SUMIFS(Physician_Minutes_February,Physician_Minutes_Practice,February!B67, Independent_Contractor_Minutes, 'Physician Types'!$D$81)/INDEX(Physician_Type_Visit_Minutes,MATCH(February!B67,Physician_Type_Practice,0))</f>
        <v>0</v>
      </c>
      <c r="I67" s="43">
        <f t="shared" si="6"/>
        <v>0</v>
      </c>
      <c r="J67" s="10">
        <f>E67*'Physician Types'!$E$4</f>
        <v>44.614870625742007</v>
      </c>
      <c r="K67" s="10">
        <f t="shared" si="8"/>
        <v>0</v>
      </c>
    </row>
    <row r="68" spans="1:11" x14ac:dyDescent="0.2">
      <c r="A68" s="158">
        <v>5</v>
      </c>
      <c r="B68" s="102" t="s">
        <v>66</v>
      </c>
      <c r="C68" s="5">
        <f t="array" ref="C68">SUMIFS(Physician_Visit_February,Physician_Visit_Practice,February!B68,Physician_Visit_Hospitalists, "&lt;&gt;"&amp;'Physician Types'!$D$81)+SUMIFS(Physician_Visit_February,Physician_Visit_Practice,February!B68,Physician_Visit_Hospitalists,'Physician Types'!$D$81)*INDEX(Physician_Type_Hospitalists_Visit_Minutes,MATCH(February!B68,Physician_Type_Practice,0))/INDEX(Physician_Type_Visit_Minutes,MATCH(February!B68,Physician_Type_Practice,0)) +SUMIF(Physician_Minutes_Practice,February!B68,Physician_Minutes_February)/INDEX(Physician_Type_Visit_Minutes,MATCH(February!B68,Physician_Type_Practice,0))</f>
        <v>0</v>
      </c>
      <c r="D68" s="43">
        <f t="shared" si="5"/>
        <v>0</v>
      </c>
      <c r="E68" s="17">
        <f>INDEX(Physician_Type_Bed_Rate,MATCH(February!B68,Physician_Type_Practice,0))*'Hospital Input Page'!$C$4</f>
        <v>4644.9427860571295</v>
      </c>
      <c r="F68" s="9">
        <f t="shared" si="7"/>
        <v>0</v>
      </c>
      <c r="H68" s="5">
        <f t="array" ref="H68">SUMIFS(Physician_Visit_February, Physician_Visit_Practice, February!B68, Independent_Contractor_Visits,  'Physician Types'!$D$81) + SUMIFS(Physician_Minutes_February,Physician_Minutes_Practice,February!B68, Independent_Contractor_Minutes, 'Physician Types'!$D$81)/INDEX(Physician_Type_Visit_Minutes,MATCH(February!B68,Physician_Type_Practice,0))</f>
        <v>0</v>
      </c>
      <c r="I68" s="43">
        <f t="shared" si="6"/>
        <v>0</v>
      </c>
      <c r="J68" s="10">
        <f>E68*'Physician Types'!$E$4</f>
        <v>139.34828358171387</v>
      </c>
      <c r="K68" s="10">
        <f t="shared" si="8"/>
        <v>0</v>
      </c>
    </row>
    <row r="69" spans="1:11" x14ac:dyDescent="0.2">
      <c r="A69" s="158">
        <v>2</v>
      </c>
      <c r="B69" s="107" t="s">
        <v>43</v>
      </c>
      <c r="C69" s="5">
        <f t="array" ref="C69">SUMIFS(Physician_Visit_February,Physician_Visit_Practice,February!B69,Physician_Visit_Hospitalists, "&lt;&gt;"&amp;'Physician Types'!$D$81)+SUMIFS(Physician_Visit_February,Physician_Visit_Practice,February!B69,Physician_Visit_Hospitalists,'Physician Types'!$D$81)*INDEX(Physician_Type_Hospitalists_Visit_Minutes,MATCH(February!B69,Physician_Type_Practice,0))/INDEX(Physician_Type_Visit_Minutes,MATCH(February!B69,Physician_Type_Practice,0)) +SUMIF(Physician_Minutes_Practice,February!B69,Physician_Minutes_February)/INDEX(Physician_Type_Visit_Minutes,MATCH(February!B69,Physician_Type_Practice,0))</f>
        <v>0</v>
      </c>
      <c r="D69" s="43">
        <f t="shared" si="5"/>
        <v>0</v>
      </c>
      <c r="E69" s="17">
        <f>INDEX(Physician_Type_Bed_Rate,MATCH(February!B69,Physician_Type_Practice,0))*'Hospital Input Page'!$C$4</f>
        <v>2539.1052792690443</v>
      </c>
      <c r="F69" s="9">
        <f t="shared" si="7"/>
        <v>0</v>
      </c>
      <c r="H69" s="5">
        <f t="array" ref="H69">SUMIFS(Physician_Visit_February, Physician_Visit_Practice, February!B69, Independent_Contractor_Visits,  'Physician Types'!$D$81) + SUMIFS(Physician_Minutes_February,Physician_Minutes_Practice,February!B69, Independent_Contractor_Minutes, 'Physician Types'!$D$81)/INDEX(Physician_Type_Visit_Minutes,MATCH(February!B69,Physician_Type_Practice,0))</f>
        <v>0</v>
      </c>
      <c r="I69" s="43">
        <f t="shared" si="6"/>
        <v>0</v>
      </c>
      <c r="J69" s="10">
        <f>E69*'Physician Types'!$E$4</f>
        <v>76.173158378071321</v>
      </c>
      <c r="K69" s="10">
        <f t="shared" si="8"/>
        <v>0</v>
      </c>
    </row>
    <row r="70" spans="1:11" x14ac:dyDescent="0.2">
      <c r="A70" s="158">
        <v>2</v>
      </c>
      <c r="B70" s="107" t="s">
        <v>44</v>
      </c>
      <c r="C70" s="5">
        <f t="array" ref="C70">SUMIFS(Physician_Visit_February,Physician_Visit_Practice,February!B70,Physician_Visit_Hospitalists, "&lt;&gt;"&amp;'Physician Types'!$D$81)+SUMIFS(Physician_Visit_February,Physician_Visit_Practice,February!B70,Physician_Visit_Hospitalists,'Physician Types'!$D$81)*INDEX(Physician_Type_Hospitalists_Visit_Minutes,MATCH(February!B70,Physician_Type_Practice,0))/INDEX(Physician_Type_Visit_Minutes,MATCH(February!B70,Physician_Type_Practice,0)) +SUMIF(Physician_Minutes_Practice,February!B70,Physician_Minutes_February)/INDEX(Physician_Type_Visit_Minutes,MATCH(February!B70,Physician_Type_Practice,0))</f>
        <v>0</v>
      </c>
      <c r="D70" s="43">
        <f t="shared" si="5"/>
        <v>0</v>
      </c>
      <c r="E70" s="17">
        <f>INDEX(Physician_Type_Bed_Rate,MATCH(February!B70,Physician_Type_Practice,0))*'Hospital Input Page'!$C$4</f>
        <v>1619.8750052216039</v>
      </c>
      <c r="F70" s="9">
        <f t="shared" si="7"/>
        <v>0</v>
      </c>
      <c r="H70" s="5">
        <f t="array" ref="H70">SUMIFS(Physician_Visit_February, Physician_Visit_Practice, February!B70, Independent_Contractor_Visits,  'Physician Types'!$D$81) + SUMIFS(Physician_Minutes_February,Physician_Minutes_Practice,February!B70, Independent_Contractor_Minutes, 'Physician Types'!$D$81)/INDEX(Physician_Type_Visit_Minutes,MATCH(February!B70,Physician_Type_Practice,0))</f>
        <v>0</v>
      </c>
      <c r="I70" s="43">
        <f t="shared" si="6"/>
        <v>0</v>
      </c>
      <c r="J70" s="10">
        <f>E70*'Physician Types'!$E$4</f>
        <v>48.596250156648118</v>
      </c>
      <c r="K70" s="10">
        <f t="shared" si="8"/>
        <v>0</v>
      </c>
    </row>
    <row r="71" spans="1:11" x14ac:dyDescent="0.2">
      <c r="A71" s="158">
        <v>2</v>
      </c>
      <c r="B71" s="161" t="s">
        <v>154</v>
      </c>
      <c r="C71" s="5">
        <f t="array" ref="C71">SUMIFS(Physician_Visit_February,Physician_Visit_Practice,February!B71,Physician_Visit_Hospitalists, "&lt;&gt;"&amp;'Physician Types'!$D$81)+SUMIFS(Physician_Visit_February,Physician_Visit_Practice,February!B71,Physician_Visit_Hospitalists,'Physician Types'!$D$81)*INDEX(Physician_Type_Hospitalists_Visit_Minutes,MATCH(February!B71,Physician_Type_Practice,0))/INDEX(Physician_Type_Visit_Minutes,MATCH(February!B71,Physician_Type_Practice,0)) +SUMIF(Physician_Minutes_Practice,February!B71,Physician_Minutes_February)/INDEX(Physician_Type_Visit_Minutes,MATCH(February!B71,Physician_Type_Practice,0))</f>
        <v>0</v>
      </c>
      <c r="D71" s="43">
        <f t="shared" si="5"/>
        <v>0</v>
      </c>
      <c r="E71" s="17">
        <f>INDEX(Physician_Type_Bed_Rate,MATCH(February!B71,Physician_Type_Practice,0))*'Hospital Input Page'!$C$4</f>
        <v>1951.6566327971132</v>
      </c>
      <c r="F71" s="9">
        <f t="shared" si="7"/>
        <v>0</v>
      </c>
      <c r="H71" s="5">
        <f t="array" ref="H71">SUMIFS(Physician_Visit_February, Physician_Visit_Practice, February!B71, Independent_Contractor_Visits,  'Physician Types'!$D$81) + SUMIFS(Physician_Minutes_February,Physician_Minutes_Practice,February!B71, Independent_Contractor_Minutes, 'Physician Types'!$D$81)/INDEX(Physician_Type_Visit_Minutes,MATCH(February!B71,Physician_Type_Practice,0))</f>
        <v>0</v>
      </c>
      <c r="I71" s="43">
        <f t="shared" si="6"/>
        <v>0</v>
      </c>
      <c r="J71" s="10">
        <f>E71*'Physician Types'!$E$4</f>
        <v>58.549698983913395</v>
      </c>
      <c r="K71" s="10">
        <f t="shared" si="8"/>
        <v>0</v>
      </c>
    </row>
    <row r="72" spans="1:11" x14ac:dyDescent="0.2">
      <c r="A72" s="158">
        <v>4</v>
      </c>
      <c r="B72" s="102" t="s">
        <v>62</v>
      </c>
      <c r="C72" s="5">
        <f t="array" ref="C72">SUMIFS(Physician_Visit_February,Physician_Visit_Practice,February!B72,Physician_Visit_Hospitalists, "&lt;&gt;"&amp;'Physician Types'!$D$81)+SUMIFS(Physician_Visit_February,Physician_Visit_Practice,February!B72,Physician_Visit_Hospitalists,'Physician Types'!$D$81)*INDEX(Physician_Type_Hospitalists_Visit_Minutes,MATCH(February!B72,Physician_Type_Practice,0))/INDEX(Physician_Type_Visit_Minutes,MATCH(February!B72,Physician_Type_Practice,0)) +SUMIF(Physician_Minutes_Practice,February!B72,Physician_Minutes_February)/INDEX(Physician_Type_Visit_Minutes,MATCH(February!B72,Physician_Type_Practice,0))</f>
        <v>0</v>
      </c>
      <c r="D72" s="43">
        <f t="shared" si="5"/>
        <v>0</v>
      </c>
      <c r="E72" s="17">
        <f>INDEX(Physician_Type_Bed_Rate,MATCH(February!B72,Physician_Type_Practice,0))*'Hospital Input Page'!$C$4</f>
        <v>2529.3469961050587</v>
      </c>
      <c r="F72" s="9">
        <f t="shared" si="7"/>
        <v>0</v>
      </c>
      <c r="H72" s="5">
        <f t="array" ref="H72">SUMIFS(Physician_Visit_February, Physician_Visit_Practice, February!B72, Independent_Contractor_Visits,  'Physician Types'!$D$81) + SUMIFS(Physician_Minutes_February,Physician_Minutes_Practice,February!B72, Independent_Contractor_Minutes, 'Physician Types'!$D$81)/INDEX(Physician_Type_Visit_Minutes,MATCH(February!B72,Physician_Type_Practice,0))</f>
        <v>0</v>
      </c>
      <c r="I72" s="43">
        <f t="shared" si="6"/>
        <v>0</v>
      </c>
      <c r="J72" s="10">
        <f>E72*'Physician Types'!$E$4</f>
        <v>75.880409883151756</v>
      </c>
      <c r="K72" s="10">
        <f t="shared" si="8"/>
        <v>0</v>
      </c>
    </row>
    <row r="73" spans="1:11" x14ac:dyDescent="0.2">
      <c r="A73" s="158">
        <v>2</v>
      </c>
      <c r="B73" s="107" t="s">
        <v>45</v>
      </c>
      <c r="C73" s="5">
        <f t="array" ref="C73">SUMIFS(Physician_Visit_February,Physician_Visit_Practice,February!B73,Physician_Visit_Hospitalists, "&lt;&gt;"&amp;'Physician Types'!$D$81)+SUMIFS(Physician_Visit_February,Physician_Visit_Practice,February!B73,Physician_Visit_Hospitalists,'Physician Types'!$D$81)*INDEX(Physician_Type_Hospitalists_Visit_Minutes,MATCH(February!B73,Physician_Type_Practice,0))/INDEX(Physician_Type_Visit_Minutes,MATCH(February!B73,Physician_Type_Practice,0)) +SUMIF(Physician_Minutes_Practice,February!B73,Physician_Minutes_February)/INDEX(Physician_Type_Visit_Minutes,MATCH(February!B73,Physician_Type_Practice,0))</f>
        <v>0</v>
      </c>
      <c r="D73" s="43">
        <f t="shared" si="5"/>
        <v>0</v>
      </c>
      <c r="E73" s="17">
        <f>INDEX(Physician_Type_Bed_Rate,MATCH(February!B73,Physician_Type_Practice,0))*'Hospital Input Page'!$C$4</f>
        <v>4844.0117626024357</v>
      </c>
      <c r="F73" s="9">
        <f t="shared" si="7"/>
        <v>0</v>
      </c>
      <c r="H73" s="5">
        <f t="array" ref="H73">SUMIFS(Physician_Visit_February, Physician_Visit_Practice, February!B73, Independent_Contractor_Visits,  'Physician Types'!$D$81) + SUMIFS(Physician_Minutes_February,Physician_Minutes_Practice,February!B73, Independent_Contractor_Minutes, 'Physician Types'!$D$81)/INDEX(Physician_Type_Visit_Minutes,MATCH(February!B73,Physician_Type_Practice,0))</f>
        <v>0</v>
      </c>
      <c r="I73" s="43">
        <f t="shared" si="6"/>
        <v>0</v>
      </c>
      <c r="J73" s="10">
        <f>E73*'Physician Types'!$E$4</f>
        <v>145.32035287807307</v>
      </c>
      <c r="K73" s="10">
        <f t="shared" si="8"/>
        <v>0</v>
      </c>
    </row>
    <row r="74" spans="1:11" x14ac:dyDescent="0.2">
      <c r="A74" s="158">
        <v>4</v>
      </c>
      <c r="B74" s="107" t="s">
        <v>63</v>
      </c>
      <c r="C74" s="5">
        <f t="array" ref="C74">SUMIFS(Physician_Visit_February,Physician_Visit_Practice,February!B74,Physician_Visit_Hospitalists, "&lt;&gt;"&amp;'Physician Types'!$D$81)+SUMIFS(Physician_Visit_February,Physician_Visit_Practice,February!B74,Physician_Visit_Hospitalists,'Physician Types'!$D$81)*INDEX(Physician_Type_Hospitalists_Visit_Minutes,MATCH(February!B74,Physician_Type_Practice,0))/INDEX(Physician_Type_Visit_Minutes,MATCH(February!B74,Physician_Type_Practice,0)) +SUMIF(Physician_Minutes_Practice,February!B74,Physician_Minutes_February)/INDEX(Physician_Type_Visit_Minutes,MATCH(February!B74,Physician_Type_Practice,0))</f>
        <v>0</v>
      </c>
      <c r="D74" s="43">
        <f t="shared" si="5"/>
        <v>0</v>
      </c>
      <c r="E74" s="17">
        <f>INDEX(Physician_Type_Bed_Rate,MATCH(February!B74,Physician_Type_Practice,0))*'Hospital Input Page'!$C$4</f>
        <v>2539.1052792690443</v>
      </c>
      <c r="F74" s="9">
        <f t="shared" si="7"/>
        <v>0</v>
      </c>
      <c r="H74" s="5">
        <f t="array" ref="H74">SUMIFS(Physician_Visit_February, Physician_Visit_Practice, February!B74, Independent_Contractor_Visits,  'Physician Types'!$D$81) + SUMIFS(Physician_Minutes_February,Physician_Minutes_Practice,February!B74, Independent_Contractor_Minutes, 'Physician Types'!$D$81)/INDEX(Physician_Type_Visit_Minutes,MATCH(February!B74,Physician_Type_Practice,0))</f>
        <v>0</v>
      </c>
      <c r="I74" s="43">
        <f t="shared" si="6"/>
        <v>0</v>
      </c>
      <c r="J74" s="10">
        <f>E74*'Physician Types'!$E$4</f>
        <v>76.173158378071321</v>
      </c>
      <c r="K74" s="10">
        <f t="shared" si="8"/>
        <v>0</v>
      </c>
    </row>
    <row r="75" spans="1:11" x14ac:dyDescent="0.2">
      <c r="A75" s="158">
        <v>2</v>
      </c>
      <c r="B75" s="107" t="s">
        <v>46</v>
      </c>
      <c r="C75" s="5">
        <f t="array" ref="C75">SUMIFS(Physician_Visit_February,Physician_Visit_Practice,February!B75,Physician_Visit_Hospitalists, "&lt;&gt;"&amp;'Physician Types'!$D$81)+SUMIFS(Physician_Visit_February,Physician_Visit_Practice,February!B75,Physician_Visit_Hospitalists,'Physician Types'!$D$81)*INDEX(Physician_Type_Hospitalists_Visit_Minutes,MATCH(February!B75,Physician_Type_Practice,0))/INDEX(Physician_Type_Visit_Minutes,MATCH(February!B75,Physician_Type_Practice,0)) +SUMIF(Physician_Minutes_Practice,February!B75,Physician_Minutes_February)/INDEX(Physician_Type_Visit_Minutes,MATCH(February!B75,Physician_Type_Practice,0))</f>
        <v>0</v>
      </c>
      <c r="D75" s="43">
        <f t="shared" si="5"/>
        <v>0</v>
      </c>
      <c r="E75" s="17">
        <f>INDEX(Physician_Type_Bed_Rate,MATCH(February!B75,Physician_Type_Practice,0))*'Hospital Input Page'!$C$4</f>
        <v>1619.8750052216039</v>
      </c>
      <c r="F75" s="9">
        <f t="shared" si="7"/>
        <v>0</v>
      </c>
      <c r="H75" s="5">
        <f t="array" ref="H75">SUMIFS(Physician_Visit_February, Physician_Visit_Practice, February!B75, Independent_Contractor_Visits,  'Physician Types'!$D$81) + SUMIFS(Physician_Minutes_February,Physician_Minutes_Practice,February!B75, Independent_Contractor_Minutes, 'Physician Types'!$D$81)/INDEX(Physician_Type_Visit_Minutes,MATCH(February!B75,Physician_Type_Practice,0))</f>
        <v>0</v>
      </c>
      <c r="I75" s="43">
        <f t="shared" si="6"/>
        <v>0</v>
      </c>
      <c r="J75" s="10">
        <f>E75*'Physician Types'!$E$4</f>
        <v>48.596250156648118</v>
      </c>
      <c r="K75" s="10">
        <f t="shared" si="8"/>
        <v>0</v>
      </c>
    </row>
    <row r="76" spans="1:11" x14ac:dyDescent="0.2">
      <c r="A76" s="158">
        <v>3</v>
      </c>
      <c r="B76" s="102" t="s">
        <v>54</v>
      </c>
      <c r="C76" s="5">
        <f t="array" ref="C76">SUMIFS(Physician_Visit_February,Physician_Visit_Practice,February!B76,Physician_Visit_Hospitalists, "&lt;&gt;"&amp;'Physician Types'!$D$81)+SUMIFS(Physician_Visit_February,Physician_Visit_Practice,February!B76,Physician_Visit_Hospitalists,'Physician Types'!$D$81)*INDEX(Physician_Type_Hospitalists_Visit_Minutes,MATCH(February!B76,Physician_Type_Practice,0))/INDEX(Physician_Type_Visit_Minutes,MATCH(February!B76,Physician_Type_Practice,0)) +SUMIF(Physician_Minutes_Practice,February!B76,Physician_Minutes_February)/INDEX(Physician_Type_Visit_Minutes,MATCH(February!B76,Physician_Type_Practice,0))</f>
        <v>0</v>
      </c>
      <c r="D76" s="43">
        <f t="shared" si="5"/>
        <v>0</v>
      </c>
      <c r="E76" s="17">
        <f>INDEX(Physician_Type_Bed_Rate,MATCH(February!B76,Physician_Type_Practice,0))*'Hospital Input Page'!$C$4</f>
        <v>2699.1411231584075</v>
      </c>
      <c r="F76" s="9">
        <f t="shared" si="7"/>
        <v>0</v>
      </c>
      <c r="H76" s="5">
        <f t="array" ref="H76">SUMIFS(Physician_Visit_February, Physician_Visit_Practice, February!B76, Independent_Contractor_Visits,  'Physician Types'!$D$81) + SUMIFS(Physician_Minutes_February,Physician_Minutes_Practice,February!B76, Independent_Contractor_Minutes, 'Physician Types'!$D$81)/INDEX(Physician_Type_Visit_Minutes,MATCH(February!B76,Physician_Type_Practice,0))</f>
        <v>0</v>
      </c>
      <c r="I76" s="43">
        <f t="shared" si="6"/>
        <v>0</v>
      </c>
      <c r="J76" s="10">
        <f>E76*'Physician Types'!$E$4</f>
        <v>80.974233694752215</v>
      </c>
      <c r="K76" s="10">
        <f t="shared" si="8"/>
        <v>0</v>
      </c>
    </row>
    <row r="77" spans="1:11" x14ac:dyDescent="0.2">
      <c r="A77" s="158">
        <v>3</v>
      </c>
      <c r="B77" s="102" t="s">
        <v>55</v>
      </c>
      <c r="C77" s="5">
        <f t="array" ref="C77">SUMIFS(Physician_Visit_February,Physician_Visit_Practice,February!B77,Physician_Visit_Hospitalists, "&lt;&gt;"&amp;'Physician Types'!$D$81)+SUMIFS(Physician_Visit_February,Physician_Visit_Practice,February!B77,Physician_Visit_Hospitalists,'Physician Types'!$D$81)*INDEX(Physician_Type_Hospitalists_Visit_Minutes,MATCH(February!B77,Physician_Type_Practice,0))/INDEX(Physician_Type_Visit_Minutes,MATCH(February!B77,Physician_Type_Practice,0)) +SUMIF(Physician_Minutes_Practice,February!B77,Physician_Minutes_February)/INDEX(Physician_Type_Visit_Minutes,MATCH(February!B77,Physician_Type_Practice,0))</f>
        <v>0</v>
      </c>
      <c r="D77" s="43">
        <f t="shared" si="5"/>
        <v>0</v>
      </c>
      <c r="E77" s="17">
        <f>INDEX(Physician_Type_Bed_Rate,MATCH(February!B77,Physician_Type_Practice,0))*'Hospital Input Page'!$C$4</f>
        <v>2222.9369047559121</v>
      </c>
      <c r="F77" s="9">
        <f t="shared" si="7"/>
        <v>0</v>
      </c>
      <c r="H77" s="5">
        <f t="array" ref="H77">SUMIFS(Physician_Visit_February, Physician_Visit_Practice, February!B77, Independent_Contractor_Visits,  'Physician Types'!$D$81) + SUMIFS(Physician_Minutes_February,Physician_Minutes_Practice,February!B77, Independent_Contractor_Minutes, 'Physician Types'!$D$81)/INDEX(Physician_Type_Visit_Minutes,MATCH(February!B77,Physician_Type_Practice,0))</f>
        <v>0</v>
      </c>
      <c r="I77" s="43">
        <f t="shared" si="6"/>
        <v>0</v>
      </c>
      <c r="J77" s="10">
        <f>E77*'Physician Types'!$E$4</f>
        <v>66.688107142677367</v>
      </c>
      <c r="K77" s="10">
        <f t="shared" si="8"/>
        <v>0</v>
      </c>
    </row>
    <row r="78" spans="1:11" x14ac:dyDescent="0.2">
      <c r="A78" s="158">
        <v>8</v>
      </c>
      <c r="B78" s="102" t="s">
        <v>77</v>
      </c>
      <c r="C78" s="5">
        <f t="array" ref="C78">SUMIFS(Physician_Visit_February,Physician_Visit_Practice,February!B78,Physician_Visit_Hospitalists, "&lt;&gt;"&amp;'Physician Types'!$D$81)+SUMIFS(Physician_Visit_February,Physician_Visit_Practice,February!B78,Physician_Visit_Hospitalists,'Physician Types'!$D$81)*INDEX(Physician_Type_Hospitalists_Visit_Minutes,MATCH(February!B78,Physician_Type_Practice,0))/INDEX(Physician_Type_Visit_Minutes,MATCH(February!B78,Physician_Type_Practice,0)) +SUMIF(Physician_Minutes_Practice,February!B78,Physician_Minutes_February)/INDEX(Physician_Type_Visit_Minutes,MATCH(February!B78,Physician_Type_Practice,0))</f>
        <v>0</v>
      </c>
      <c r="D78" s="43">
        <f t="shared" ref="D78:D110" si="9">C78*INDEX(Physician_Type_Visit_Minutes,MATCH(B78,Physician_Type_Practice,0))/INDEX(Physician_Type_FTE_Minutes,MATCH(B78,Physician_Type_Practice,0))</f>
        <v>0</v>
      </c>
      <c r="E78" s="17">
        <f>INDEX(Physician_Type_Bed_Rate,MATCH(February!B78,Physician_Type_Practice,0))*'Hospital Input Page'!$C$4</f>
        <v>11024.908318670894</v>
      </c>
      <c r="F78" s="9">
        <f t="shared" si="7"/>
        <v>0</v>
      </c>
      <c r="H78" s="5">
        <f t="array" ref="H78">SUMIFS(Physician_Visit_February, Physician_Visit_Practice, February!B78, Independent_Contractor_Visits,  'Physician Types'!$D$81) + SUMIFS(Physician_Minutes_February,Physician_Minutes_Practice,February!B78, Independent_Contractor_Minutes, 'Physician Types'!$D$81)/INDEX(Physician_Type_Visit_Minutes,MATCH(February!B78,Physician_Type_Practice,0))</f>
        <v>0</v>
      </c>
      <c r="I78" s="43">
        <f t="shared" ref="I78:I110" si="10">H78*INDEX(Physician_Type_Visit_Minutes,MATCH(B78,Physician_Type_Practice,0))/INDEX(Physician_Type_FTE_Minutes,MATCH(B78,Physician_Type_Practice,0))</f>
        <v>0</v>
      </c>
      <c r="J78" s="10">
        <f>E78*'Physician Types'!$E$4</f>
        <v>330.74724956012682</v>
      </c>
      <c r="K78" s="10">
        <f t="shared" si="8"/>
        <v>0</v>
      </c>
    </row>
    <row r="79" spans="1:11" x14ac:dyDescent="0.2">
      <c r="A79" s="158"/>
      <c r="B79" s="102" t="s">
        <v>79</v>
      </c>
      <c r="C79" s="5">
        <f t="array" ref="C79">SUMIFS(Physician_Visit_February,Physician_Visit_Practice,February!B79,Physician_Visit_Hospitalists, "&lt;&gt;"&amp;'Physician Types'!$D$81)+SUMIFS(Physician_Visit_February,Physician_Visit_Practice,February!B79,Physician_Visit_Hospitalists,'Physician Types'!$D$81)*INDEX(Physician_Type_Hospitalists_Visit_Minutes,MATCH(February!B79,Physician_Type_Practice,0))/INDEX(Physician_Type_Visit_Minutes,MATCH(February!B79,Physician_Type_Practice,0)) +SUMIF(Physician_Minutes_Practice,February!B79,Physician_Minutes_February)/INDEX(Physician_Type_Visit_Minutes,MATCH(February!B79,Physician_Type_Practice,0))</f>
        <v>0</v>
      </c>
      <c r="D79" s="43">
        <f t="shared" si="9"/>
        <v>0</v>
      </c>
      <c r="E79" s="17">
        <f>INDEX(Physician_Type_Bed_Rate,MATCH(February!B79,Physician_Type_Practice,0))*'Hospital Input Page'!$C$4</f>
        <v>858.72891843072989</v>
      </c>
      <c r="F79" s="9">
        <f t="shared" si="7"/>
        <v>0</v>
      </c>
      <c r="H79" s="5">
        <f t="array" ref="H79">SUMIFS(Physician_Visit_February, Physician_Visit_Practice, February!B79, Independent_Contractor_Visits,  'Physician Types'!$D$81) + SUMIFS(Physician_Minutes_February,Physician_Minutes_Practice,February!B79, Independent_Contractor_Minutes, 'Physician Types'!$D$81)/INDEX(Physician_Type_Visit_Minutes,MATCH(February!B79,Physician_Type_Practice,0))</f>
        <v>0</v>
      </c>
      <c r="I79" s="43">
        <f t="shared" si="10"/>
        <v>0</v>
      </c>
      <c r="J79" s="10">
        <f>E79*'Physician Types'!$E$4</f>
        <v>25.761867552921895</v>
      </c>
      <c r="K79" s="10">
        <f t="shared" si="8"/>
        <v>0</v>
      </c>
    </row>
    <row r="80" spans="1:11" x14ac:dyDescent="0.2">
      <c r="A80" s="158">
        <v>5</v>
      </c>
      <c r="B80" s="102" t="s">
        <v>67</v>
      </c>
      <c r="C80" s="5">
        <f t="array" ref="C80">SUMIFS(Physician_Visit_February,Physician_Visit_Practice,February!B80,Physician_Visit_Hospitalists, "&lt;&gt;"&amp;'Physician Types'!$D$81)+SUMIFS(Physician_Visit_February,Physician_Visit_Practice,February!B80,Physician_Visit_Hospitalists,'Physician Types'!$D$81)*INDEX(Physician_Type_Hospitalists_Visit_Minutes,MATCH(February!B80,Physician_Type_Practice,0))/INDEX(Physician_Type_Visit_Minutes,MATCH(February!B80,Physician_Type_Practice,0)) +SUMIF(Physician_Minutes_Practice,February!B80,Physician_Minutes_February)/INDEX(Physician_Type_Visit_Minutes,MATCH(February!B80,Physician_Type_Practice,0))</f>
        <v>0</v>
      </c>
      <c r="D80" s="43">
        <f t="shared" si="9"/>
        <v>0</v>
      </c>
      <c r="E80" s="17">
        <f>INDEX(Physician_Type_Bed_Rate,MATCH(February!B80,Physician_Type_Practice,0))*'Hospital Input Page'!$C$4</f>
        <v>1955.5599460627077</v>
      </c>
      <c r="F80" s="9">
        <f t="shared" si="7"/>
        <v>0</v>
      </c>
      <c r="H80" s="5">
        <f t="array" ref="H80">SUMIFS(Physician_Visit_February, Physician_Visit_Practice, February!B80, Independent_Contractor_Visits,  'Physician Types'!$D$81) + SUMIFS(Physician_Minutes_February,Physician_Minutes_Practice,February!B80, Independent_Contractor_Minutes, 'Physician Types'!$D$81)/INDEX(Physician_Type_Visit_Minutes,MATCH(February!B80,Physician_Type_Practice,0))</f>
        <v>0</v>
      </c>
      <c r="I80" s="43">
        <f t="shared" si="10"/>
        <v>0</v>
      </c>
      <c r="J80" s="10">
        <f>E80*'Physician Types'!$E$4</f>
        <v>58.666798381881229</v>
      </c>
      <c r="K80" s="10">
        <f t="shared" si="8"/>
        <v>0</v>
      </c>
    </row>
    <row r="81" spans="1:11" x14ac:dyDescent="0.2">
      <c r="A81" s="158"/>
      <c r="B81" s="102" t="s">
        <v>80</v>
      </c>
      <c r="C81" s="5">
        <f t="array" ref="C81">SUMIFS(Physician_Visit_February,Physician_Visit_Practice,February!B81,Physician_Visit_Hospitalists, "&lt;&gt;"&amp;'Physician Types'!$D$81)+SUMIFS(Physician_Visit_February,Physician_Visit_Practice,February!B81,Physician_Visit_Hospitalists,'Physician Types'!$D$81)*INDEX(Physician_Type_Hospitalists_Visit_Minutes,MATCH(February!B81,Physician_Type_Practice,0))/INDEX(Physician_Type_Visit_Minutes,MATCH(February!B81,Physician_Type_Practice,0)) +SUMIF(Physician_Minutes_Practice,February!B81,Physician_Minutes_February)/INDEX(Physician_Type_Visit_Minutes,MATCH(February!B81,Physician_Type_Practice,0))</f>
        <v>0</v>
      </c>
      <c r="D81" s="43">
        <f t="shared" si="9"/>
        <v>0</v>
      </c>
      <c r="E81" s="17">
        <f>INDEX(Physician_Type_Bed_Rate,MATCH(February!B81,Physician_Type_Practice,0))*'Hospital Input Page'!$C$4</f>
        <v>493.76912809766964</v>
      </c>
      <c r="F81" s="9">
        <f t="shared" si="7"/>
        <v>0</v>
      </c>
      <c r="H81" s="5">
        <f t="array" ref="H81">SUMIFS(Physician_Visit_February, Physician_Visit_Practice, February!B81, Independent_Contractor_Visits,  'Physician Types'!$D$81) + SUMIFS(Physician_Minutes_February,Physician_Minutes_Practice,February!B81, Independent_Contractor_Minutes, 'Physician Types'!$D$81)/INDEX(Physician_Type_Visit_Minutes,MATCH(February!B81,Physician_Type_Practice,0))</f>
        <v>0</v>
      </c>
      <c r="I81" s="43">
        <f t="shared" si="10"/>
        <v>0</v>
      </c>
      <c r="J81" s="10">
        <f>E81*'Physician Types'!$E$4</f>
        <v>14.813073842930088</v>
      </c>
      <c r="K81" s="10">
        <f t="shared" si="8"/>
        <v>0</v>
      </c>
    </row>
    <row r="82" spans="1:11" x14ac:dyDescent="0.2">
      <c r="A82" s="158">
        <v>8</v>
      </c>
      <c r="B82" s="128" t="s">
        <v>139</v>
      </c>
      <c r="C82" s="5">
        <f t="array" ref="C82">SUMIFS(Physician_Visit_February,Physician_Visit_Practice,February!B82,Physician_Visit_Hospitalists, "&lt;&gt;"&amp;'Physician Types'!$D$81)+SUMIFS(Physician_Visit_February,Physician_Visit_Practice,February!B82,Physician_Visit_Hospitalists,'Physician Types'!$D$81)*INDEX(Physician_Type_Hospitalists_Visit_Minutes,MATCH(February!B82,Physician_Type_Practice,0))/INDEX(Physician_Type_Visit_Minutes,MATCH(February!B82,Physician_Type_Practice,0)) +SUMIF(Physician_Minutes_Practice,February!B82,Physician_Minutes_February)/INDEX(Physician_Type_Visit_Minutes,MATCH(February!B82,Physician_Type_Practice,0))</f>
        <v>0</v>
      </c>
      <c r="D82" s="43">
        <f t="shared" si="9"/>
        <v>0</v>
      </c>
      <c r="E82" s="17">
        <f>INDEX(Physician_Type_Bed_Rate,MATCH(February!B82,Physician_Type_Practice,0))*'Hospital Input Page'!$C$4</f>
        <v>8509.2229189954141</v>
      </c>
      <c r="F82" s="9">
        <f t="shared" si="7"/>
        <v>0</v>
      </c>
      <c r="H82" s="5">
        <f t="array" ref="H82">SUMIFS(Physician_Visit_February, Physician_Visit_Practice, February!B82, Independent_Contractor_Visits,  'Physician Types'!$D$81) + SUMIFS(Physician_Minutes_February,Physician_Minutes_Practice,February!B82, Independent_Contractor_Minutes, 'Physician Types'!$D$81)/INDEX(Physician_Type_Visit_Minutes,MATCH(February!B82,Physician_Type_Practice,0))</f>
        <v>0</v>
      </c>
      <c r="I82" s="43">
        <f t="shared" si="10"/>
        <v>0</v>
      </c>
      <c r="J82" s="10">
        <f>E82*'Physician Types'!$E$4</f>
        <v>255.27668756986242</v>
      </c>
      <c r="K82" s="10">
        <f t="shared" si="8"/>
        <v>0</v>
      </c>
    </row>
    <row r="83" spans="1:11" x14ac:dyDescent="0.2">
      <c r="A83" s="158">
        <v>8</v>
      </c>
      <c r="B83" s="102" t="s">
        <v>78</v>
      </c>
      <c r="C83" s="5">
        <f t="array" ref="C83">SUMIFS(Physician_Visit_February,Physician_Visit_Practice,February!B83,Physician_Visit_Hospitalists, "&lt;&gt;"&amp;'Physician Types'!$D$81)+SUMIFS(Physician_Visit_February,Physician_Visit_Practice,February!B83,Physician_Visit_Hospitalists,'Physician Types'!$D$81)*INDEX(Physician_Type_Hospitalists_Visit_Minutes,MATCH(February!B83,Physician_Type_Practice,0))/INDEX(Physician_Type_Visit_Minutes,MATCH(February!B83,Physician_Type_Practice,0)) +SUMIF(Physician_Minutes_Practice,February!B83,Physician_Minutes_February)/INDEX(Physician_Type_Visit_Minutes,MATCH(February!B83,Physician_Type_Practice,0))</f>
        <v>0</v>
      </c>
      <c r="D83" s="43">
        <f t="shared" si="9"/>
        <v>0</v>
      </c>
      <c r="E83" s="17">
        <f>INDEX(Physician_Type_Bed_Rate,MATCH(February!B83,Physician_Type_Practice,0))*'Hospital Input Page'!$C$4</f>
        <v>8509.2229189954141</v>
      </c>
      <c r="F83" s="9">
        <f t="shared" si="7"/>
        <v>0</v>
      </c>
      <c r="H83" s="5">
        <f t="array" ref="H83">SUMIFS(Physician_Visit_February, Physician_Visit_Practice, February!B83, Independent_Contractor_Visits,  'Physician Types'!$D$81) + SUMIFS(Physician_Minutes_February,Physician_Minutes_Practice,February!B83, Independent_Contractor_Minutes, 'Physician Types'!$D$81)/INDEX(Physician_Type_Visit_Minutes,MATCH(February!B83,Physician_Type_Practice,0))</f>
        <v>0</v>
      </c>
      <c r="I83" s="43">
        <f t="shared" si="10"/>
        <v>0</v>
      </c>
      <c r="J83" s="10">
        <f>E83*'Physician Types'!$E$4</f>
        <v>255.27668756986242</v>
      </c>
      <c r="K83" s="10">
        <f t="shared" si="8"/>
        <v>0</v>
      </c>
    </row>
    <row r="84" spans="1:11" x14ac:dyDescent="0.2">
      <c r="A84" s="158">
        <v>2</v>
      </c>
      <c r="B84" s="107" t="s">
        <v>47</v>
      </c>
      <c r="C84" s="5">
        <f t="array" ref="C84">SUMIFS(Physician_Visit_February,Physician_Visit_Practice,February!B84,Physician_Visit_Hospitalists, "&lt;&gt;"&amp;'Physician Types'!$D$81)+SUMIFS(Physician_Visit_February,Physician_Visit_Practice,February!B84,Physician_Visit_Hospitalists,'Physician Types'!$D$81)*INDEX(Physician_Type_Hospitalists_Visit_Minutes,MATCH(February!B84,Physician_Type_Practice,0))/INDEX(Physician_Type_Visit_Minutes,MATCH(February!B84,Physician_Type_Practice,0)) +SUMIF(Physician_Minutes_Practice,February!B84,Physician_Minutes_February)/INDEX(Physician_Type_Visit_Minutes,MATCH(February!B84,Physician_Type_Practice,0))</f>
        <v>0</v>
      </c>
      <c r="D84" s="43">
        <f t="shared" si="9"/>
        <v>0</v>
      </c>
      <c r="E84" s="17">
        <f>INDEX(Physician_Type_Bed_Rate,MATCH(February!B84,Physician_Type_Practice,0))*'Hospital Input Page'!$C$4</f>
        <v>1727.2161200254454</v>
      </c>
      <c r="F84" s="9">
        <f t="shared" si="7"/>
        <v>0</v>
      </c>
      <c r="H84" s="5">
        <f t="array" ref="H84">SUMIFS(Physician_Visit_February, Physician_Visit_Practice, February!B84, Independent_Contractor_Visits,  'Physician Types'!$D$81) + SUMIFS(Physician_Minutes_February,Physician_Minutes_Practice,February!B84, Independent_Contractor_Minutes, 'Physician Types'!$D$81)/INDEX(Physician_Type_Visit_Minutes,MATCH(February!B84,Physician_Type_Practice,0))</f>
        <v>0</v>
      </c>
      <c r="I84" s="43">
        <f t="shared" si="10"/>
        <v>0</v>
      </c>
      <c r="J84" s="10">
        <f>E84*'Physician Types'!$E$4</f>
        <v>51.816483600763362</v>
      </c>
      <c r="K84" s="10">
        <f t="shared" si="8"/>
        <v>0</v>
      </c>
    </row>
    <row r="85" spans="1:11" x14ac:dyDescent="0.2">
      <c r="A85" s="158">
        <v>3</v>
      </c>
      <c r="B85" s="102" t="s">
        <v>56</v>
      </c>
      <c r="C85" s="5">
        <f t="array" ref="C85">SUMIFS(Physician_Visit_February,Physician_Visit_Practice,February!B85,Physician_Visit_Hospitalists, "&lt;&gt;"&amp;'Physician Types'!$D$81)+SUMIFS(Physician_Visit_February,Physician_Visit_Practice,February!B85,Physician_Visit_Hospitalists,'Physician Types'!$D$81)*INDEX(Physician_Type_Hospitalists_Visit_Minutes,MATCH(February!B85,Physician_Type_Practice,0))/INDEX(Physician_Type_Visit_Minutes,MATCH(February!B85,Physician_Type_Practice,0)) +SUMIF(Physician_Minutes_Practice,February!B85,Physician_Minutes_February)/INDEX(Physician_Type_Visit_Minutes,MATCH(February!B85,Physician_Type_Practice,0))</f>
        <v>0</v>
      </c>
      <c r="D85" s="43">
        <f t="shared" si="9"/>
        <v>0</v>
      </c>
      <c r="E85" s="17">
        <f>INDEX(Physician_Type_Bed_Rate,MATCH(February!B85,Physician_Type_Practice,0))*'Hospital Input Page'!$C$4</f>
        <v>1842.3638613604746</v>
      </c>
      <c r="F85" s="9">
        <f t="shared" si="7"/>
        <v>0</v>
      </c>
      <c r="H85" s="5">
        <f t="array" ref="H85">SUMIFS(Physician_Visit_February, Physician_Visit_Practice, February!B85, Independent_Contractor_Visits,  'Physician Types'!$D$81) + SUMIFS(Physician_Minutes_February,Physician_Minutes_Practice,February!B85, Independent_Contractor_Minutes, 'Physician Types'!$D$81)/INDEX(Physician_Type_Visit_Minutes,MATCH(February!B85,Physician_Type_Practice,0))</f>
        <v>0</v>
      </c>
      <c r="I85" s="43">
        <f t="shared" si="10"/>
        <v>0</v>
      </c>
      <c r="J85" s="10">
        <f>E85*'Physician Types'!$E$4</f>
        <v>55.27091584081424</v>
      </c>
      <c r="K85" s="10">
        <f t="shared" si="8"/>
        <v>0</v>
      </c>
    </row>
    <row r="86" spans="1:11" x14ac:dyDescent="0.2">
      <c r="A86" s="158">
        <v>3</v>
      </c>
      <c r="B86" s="102" t="s">
        <v>57</v>
      </c>
      <c r="C86" s="5">
        <f t="array" ref="C86">SUMIFS(Physician_Visit_February,Physician_Visit_Practice,February!B86,Physician_Visit_Hospitalists, "&lt;&gt;"&amp;'Physician Types'!$D$81)+SUMIFS(Physician_Visit_February,Physician_Visit_Practice,February!B86,Physician_Visit_Hospitalists,'Physician Types'!$D$81)*INDEX(Physician_Type_Hospitalists_Visit_Minutes,MATCH(February!B86,Physician_Type_Practice,0))/INDEX(Physician_Type_Visit_Minutes,MATCH(February!B86,Physician_Type_Practice,0)) +SUMIF(Physician_Minutes_Practice,February!B86,Physician_Minutes_February)/INDEX(Physician_Type_Visit_Minutes,MATCH(February!B86,Physician_Type_Practice,0))</f>
        <v>0</v>
      </c>
      <c r="D86" s="43">
        <f t="shared" si="9"/>
        <v>0</v>
      </c>
      <c r="E86" s="17">
        <f>INDEX(Physician_Type_Bed_Rate,MATCH(February!B86,Physician_Type_Practice,0))*'Hospital Input Page'!$C$4</f>
        <v>1165.1390097798767</v>
      </c>
      <c r="F86" s="9">
        <f t="shared" si="7"/>
        <v>0</v>
      </c>
      <c r="H86" s="5">
        <f t="array" ref="H86">SUMIFS(Physician_Visit_February, Physician_Visit_Practice, February!B86, Independent_Contractor_Visits,  'Physician Types'!$D$81) + SUMIFS(Physician_Minutes_February,Physician_Minutes_Practice,February!B86, Independent_Contractor_Minutes, 'Physician Types'!$D$81)/INDEX(Physician_Type_Visit_Minutes,MATCH(February!B86,Physician_Type_Practice,0))</f>
        <v>0</v>
      </c>
      <c r="I86" s="43">
        <f t="shared" si="10"/>
        <v>0</v>
      </c>
      <c r="J86" s="10">
        <f>E86*'Physician Types'!$E$4</f>
        <v>34.954170293396302</v>
      </c>
      <c r="K86" s="10">
        <f t="shared" si="8"/>
        <v>0</v>
      </c>
    </row>
    <row r="87" spans="1:11" x14ac:dyDescent="0.2">
      <c r="A87" s="158">
        <v>3</v>
      </c>
      <c r="B87" s="102" t="s">
        <v>58</v>
      </c>
      <c r="C87" s="5">
        <f t="array" ref="C87">SUMIFS(Physician_Visit_February,Physician_Visit_Practice,February!B87,Physician_Visit_Hospitalists, "&lt;&gt;"&amp;'Physician Types'!$D$81)+SUMIFS(Physician_Visit_February,Physician_Visit_Practice,February!B87,Physician_Visit_Hospitalists,'Physician Types'!$D$81)*INDEX(Physician_Type_Hospitalists_Visit_Minutes,MATCH(February!B87,Physician_Type_Practice,0))/INDEX(Physician_Type_Visit_Minutes,MATCH(February!B87,Physician_Type_Practice,0)) +SUMIF(Physician_Minutes_Practice,February!B87,Physician_Minutes_February)/INDEX(Physician_Type_Visit_Minutes,MATCH(February!B87,Physician_Type_Practice,0))</f>
        <v>0</v>
      </c>
      <c r="D87" s="43">
        <f t="shared" si="9"/>
        <v>0</v>
      </c>
      <c r="E87" s="17">
        <f>INDEX(Physician_Type_Bed_Rate,MATCH(February!B87,Physician_Type_Practice,0))*'Hospital Input Page'!$C$4</f>
        <v>2406.3926282388406</v>
      </c>
      <c r="F87" s="9">
        <f t="shared" si="7"/>
        <v>0</v>
      </c>
      <c r="H87" s="5">
        <f t="array" ref="H87">SUMIFS(Physician_Visit_February, Physician_Visit_Practice, February!B87, Independent_Contractor_Visits,  'Physician Types'!$D$81) + SUMIFS(Physician_Minutes_February,Physician_Minutes_Practice,February!B87, Independent_Contractor_Minutes, 'Physician Types'!$D$81)/INDEX(Physician_Type_Visit_Minutes,MATCH(February!B87,Physician_Type_Practice,0))</f>
        <v>0</v>
      </c>
      <c r="I87" s="43">
        <f t="shared" si="10"/>
        <v>0</v>
      </c>
      <c r="J87" s="10">
        <f>E87*'Physician Types'!$E$4</f>
        <v>72.19177884716521</v>
      </c>
      <c r="K87" s="10">
        <f t="shared" si="8"/>
        <v>0</v>
      </c>
    </row>
    <row r="88" spans="1:11" x14ac:dyDescent="0.2">
      <c r="A88" s="158">
        <v>7</v>
      </c>
      <c r="B88" s="102" t="s">
        <v>73</v>
      </c>
      <c r="C88" s="5">
        <f t="array" ref="C88">SUMIFS(Physician_Visit_February,Physician_Visit_Practice,February!B88,Physician_Visit_Hospitalists, "&lt;&gt;"&amp;'Physician Types'!$D$81)+SUMIFS(Physician_Visit_February,Physician_Visit_Practice,February!B88,Physician_Visit_Hospitalists,'Physician Types'!$D$81)*INDEX(Physician_Type_Hospitalists_Visit_Minutes,MATCH(February!B88,Physician_Type_Practice,0))/INDEX(Physician_Type_Visit_Minutes,MATCH(February!B88,Physician_Type_Practice,0)) +SUMIF(Physician_Minutes_Practice,February!B88,Physician_Minutes_February)/INDEX(Physician_Type_Visit_Minutes,MATCH(February!B88,Physician_Type_Practice,0))</f>
        <v>0</v>
      </c>
      <c r="D88" s="43">
        <f t="shared" si="9"/>
        <v>0</v>
      </c>
      <c r="E88" s="17">
        <f>INDEX(Physician_Type_Bed_Rate,MATCH(February!B88,Physician_Type_Practice,0))*'Hospital Input Page'!$C$4</f>
        <v>7172.3381255293916</v>
      </c>
      <c r="F88" s="9">
        <f t="shared" si="7"/>
        <v>0</v>
      </c>
      <c r="H88" s="5">
        <f t="array" ref="H88">SUMIFS(Physician_Visit_February, Physician_Visit_Practice, February!B88, Independent_Contractor_Visits,  'Physician Types'!$D$81) + SUMIFS(Physician_Minutes_February,Physician_Minutes_Practice,February!B88, Independent_Contractor_Minutes, 'Physician Types'!$D$81)/INDEX(Physician_Type_Visit_Minutes,MATCH(February!B88,Physician_Type_Practice,0))</f>
        <v>0</v>
      </c>
      <c r="I88" s="43">
        <f t="shared" si="10"/>
        <v>0</v>
      </c>
      <c r="J88" s="10">
        <f>E88*'Physician Types'!$E$4</f>
        <v>215.17014376588173</v>
      </c>
      <c r="K88" s="10">
        <f t="shared" si="8"/>
        <v>0</v>
      </c>
    </row>
    <row r="89" spans="1:11" x14ac:dyDescent="0.2">
      <c r="A89" s="158">
        <v>7</v>
      </c>
      <c r="B89" s="128" t="s">
        <v>74</v>
      </c>
      <c r="C89" s="5">
        <f t="array" ref="C89">SUMIFS(Physician_Visit_February,Physician_Visit_Practice,February!B89,Physician_Visit_Hospitalists, "&lt;&gt;"&amp;'Physician Types'!$D$81)+SUMIFS(Physician_Visit_February,Physician_Visit_Practice,February!B89,Physician_Visit_Hospitalists,'Physician Types'!$D$81)*INDEX(Physician_Type_Hospitalists_Visit_Minutes,MATCH(February!B89,Physician_Type_Practice,0))/INDEX(Physician_Type_Visit_Minutes,MATCH(February!B89,Physician_Type_Practice,0)) +SUMIF(Physician_Minutes_Practice,February!B89,Physician_Minutes_February)/INDEX(Physician_Type_Visit_Minutes,MATCH(February!B89,Physician_Type_Practice,0))</f>
        <v>0</v>
      </c>
      <c r="D89" s="43">
        <f t="shared" si="9"/>
        <v>0</v>
      </c>
      <c r="E89" s="17">
        <f>INDEX(Physician_Type_Bed_Rate,MATCH(February!B89,Physician_Type_Practice,0))*'Hospital Input Page'!$C$4</f>
        <v>4073.1073926475756</v>
      </c>
      <c r="F89" s="9">
        <f t="shared" si="7"/>
        <v>0</v>
      </c>
      <c r="H89" s="5">
        <f t="array" ref="H89">SUMIFS(Physician_Visit_February, Physician_Visit_Practice, February!B89, Independent_Contractor_Visits,  'Physician Types'!$D$81) + SUMIFS(Physician_Minutes_February,Physician_Minutes_Practice,February!B89, Independent_Contractor_Minutes, 'Physician Types'!$D$81)/INDEX(Physician_Type_Visit_Minutes,MATCH(February!B89,Physician_Type_Practice,0))</f>
        <v>0</v>
      </c>
      <c r="I89" s="43">
        <f t="shared" si="10"/>
        <v>0</v>
      </c>
      <c r="J89" s="10">
        <f>E89*'Physician Types'!$E$4</f>
        <v>122.19322177942726</v>
      </c>
      <c r="K89" s="10">
        <f t="shared" si="8"/>
        <v>0</v>
      </c>
    </row>
    <row r="90" spans="1:11" x14ac:dyDescent="0.2">
      <c r="A90" s="158">
        <v>4</v>
      </c>
      <c r="B90" s="128" t="s">
        <v>146</v>
      </c>
      <c r="C90" s="5">
        <f t="array" ref="C90">SUMIFS(Physician_Visit_February,Physician_Visit_Practice,February!B90,Physician_Visit_Hospitalists, "&lt;&gt;"&amp;'Physician Types'!$D$81)+SUMIFS(Physician_Visit_February,Physician_Visit_Practice,February!B90,Physician_Visit_Hospitalists,'Physician Types'!$D$81)*INDEX(Physician_Type_Hospitalists_Visit_Minutes,MATCH(February!B90,Physician_Type_Practice,0))/INDEX(Physician_Type_Visit_Minutes,MATCH(February!B90,Physician_Type_Practice,0)) +SUMIF(Physician_Minutes_Practice,February!B90,Physician_Minutes_February)/INDEX(Physician_Type_Visit_Minutes,MATCH(February!B90,Physician_Type_Practice,0))</f>
        <v>0</v>
      </c>
      <c r="D90" s="43">
        <f t="shared" si="9"/>
        <v>0</v>
      </c>
      <c r="E90" s="17">
        <f>INDEX(Physician_Type_Bed_Rate,MATCH(February!B90,Physician_Type_Practice,0))*'Hospital Input Page'!$C$4</f>
        <v>2997.7445879763663</v>
      </c>
      <c r="F90" s="9">
        <f t="shared" si="7"/>
        <v>0</v>
      </c>
      <c r="H90" s="5">
        <f t="array" ref="H90">SUMIFS(Physician_Visit_February, Physician_Visit_Practice, February!B90, Independent_Contractor_Visits,  'Physician Types'!$D$81) + SUMIFS(Physician_Minutes_February,Physician_Minutes_Practice,February!B90, Independent_Contractor_Minutes, 'Physician Types'!$D$81)/INDEX(Physician_Type_Visit_Minutes,MATCH(February!B90,Physician_Type_Practice,0))</f>
        <v>0</v>
      </c>
      <c r="I90" s="43">
        <f t="shared" si="10"/>
        <v>0</v>
      </c>
      <c r="J90" s="10">
        <f>E90*'Physician Types'!$E$4</f>
        <v>89.932337639290992</v>
      </c>
      <c r="K90" s="10">
        <f t="shared" si="8"/>
        <v>0</v>
      </c>
    </row>
    <row r="91" spans="1:11" x14ac:dyDescent="0.2">
      <c r="A91" s="158">
        <v>6</v>
      </c>
      <c r="B91" s="128" t="s">
        <v>71</v>
      </c>
      <c r="C91" s="5">
        <f t="array" ref="C91">SUMIFS(Physician_Visit_February,Physician_Visit_Practice,February!B91,Physician_Visit_Hospitalists, "&lt;&gt;"&amp;'Physician Types'!$D$81)+SUMIFS(Physician_Visit_February,Physician_Visit_Practice,February!B91,Physician_Visit_Hospitalists,'Physician Types'!$D$81)*INDEX(Physician_Type_Hospitalists_Visit_Minutes,MATCH(February!B91,Physician_Type_Practice,0))/INDEX(Physician_Type_Visit_Minutes,MATCH(February!B91,Physician_Type_Practice,0)) +SUMIF(Physician_Minutes_Practice,February!B91,Physician_Minutes_February)/INDEX(Physician_Type_Visit_Minutes,MATCH(February!B91,Physician_Type_Practice,0))</f>
        <v>0</v>
      </c>
      <c r="D91" s="43">
        <f t="shared" si="9"/>
        <v>0</v>
      </c>
      <c r="E91" s="17">
        <f>INDEX(Physician_Type_Bed_Rate,MATCH(February!B91,Physician_Type_Practice,0))*'Hospital Input Page'!$C$4</f>
        <v>4912.3197447503335</v>
      </c>
      <c r="F91" s="9">
        <f t="shared" si="7"/>
        <v>0</v>
      </c>
      <c r="H91" s="5">
        <f t="array" ref="H91">SUMIFS(Physician_Visit_February, Physician_Visit_Practice, February!B91, Independent_Contractor_Visits,  'Physician Types'!$D$81) + SUMIFS(Physician_Minutes_February,Physician_Minutes_Practice,February!B91, Independent_Contractor_Minutes, 'Physician Types'!$D$81)/INDEX(Physician_Type_Visit_Minutes,MATCH(February!B91,Physician_Type_Practice,0))</f>
        <v>0</v>
      </c>
      <c r="I91" s="43">
        <f t="shared" si="10"/>
        <v>0</v>
      </c>
      <c r="J91" s="10">
        <f>E91*'Physician Types'!$E$4</f>
        <v>147.36959234251</v>
      </c>
      <c r="K91" s="10">
        <f t="shared" si="8"/>
        <v>0</v>
      </c>
    </row>
    <row r="92" spans="1:11" x14ac:dyDescent="0.2">
      <c r="A92" s="158">
        <v>4</v>
      </c>
      <c r="B92" s="128" t="s">
        <v>152</v>
      </c>
      <c r="C92" s="5">
        <f t="array" ref="C92">SUMIFS(Physician_Visit_February,Physician_Visit_Practice,February!B92,Physician_Visit_Hospitalists, "&lt;&gt;"&amp;'Physician Types'!$D$81)+SUMIFS(Physician_Visit_February,Physician_Visit_Practice,February!B92,Physician_Visit_Hospitalists,'Physician Types'!$D$81)*INDEX(Physician_Type_Hospitalists_Visit_Minutes,MATCH(February!B92,Physician_Type_Practice,0))/INDEX(Physician_Type_Visit_Minutes,MATCH(February!B92,Physician_Type_Practice,0)) +SUMIF(Physician_Minutes_Practice,February!B92,Physician_Minutes_February)/INDEX(Physician_Type_Visit_Minutes,MATCH(February!B92,Physician_Type_Practice,0))</f>
        <v>0</v>
      </c>
      <c r="D92" s="43">
        <f t="shared" si="9"/>
        <v>0</v>
      </c>
      <c r="E92" s="17">
        <f>IFERROR(INDEX(Physician_Type_Bed_Rate,MATCH(February!B92,Physician_Type_Practice,0))*'Hospital Input Page'!$C$4,0)</f>
        <v>2664.0113037680594</v>
      </c>
      <c r="F92" s="9">
        <f t="shared" si="7"/>
        <v>0</v>
      </c>
      <c r="H92" s="5">
        <f t="array" ref="H92">SUMIFS(Physician_Visit_February, Physician_Visit_Practice, February!B92, Independent_Contractor_Visits,  'Physician Types'!$D$81) + SUMIFS(Physician_Minutes_February,Physician_Minutes_Practice,February!B92, Independent_Contractor_Minutes, 'Physician Types'!$D$81)/INDEX(Physician_Type_Visit_Minutes,MATCH(February!B92,Physician_Type_Practice,0))</f>
        <v>0</v>
      </c>
      <c r="I92" s="43">
        <f t="shared" si="10"/>
        <v>0</v>
      </c>
      <c r="J92" s="10">
        <f>E92*'Physician Types'!$E$4</f>
        <v>79.920339113041777</v>
      </c>
      <c r="K92" s="10">
        <f t="shared" si="8"/>
        <v>0</v>
      </c>
    </row>
    <row r="93" spans="1:11" x14ac:dyDescent="0.2">
      <c r="A93" s="158">
        <v>1</v>
      </c>
      <c r="B93" s="107" t="s">
        <v>30</v>
      </c>
      <c r="C93" s="5">
        <f t="array" ref="C93">SUMIFS(Physician_Visit_February,Physician_Visit_Practice,February!B93,Physician_Visit_Hospitalists, "&lt;&gt;"&amp;'Physician Types'!$D$81)+SUMIFS(Physician_Visit_February,Physician_Visit_Practice,February!B93,Physician_Visit_Hospitalists,'Physician Types'!$D$81)*INDEX(Physician_Type_Hospitalists_Visit_Minutes,MATCH(February!B93,Physician_Type_Practice,0))/INDEX(Physician_Type_Visit_Minutes,MATCH(February!B93,Physician_Type_Practice,0)) +SUMIF(Physician_Minutes_Practice,February!B93,Physician_Minutes_February)/INDEX(Physician_Type_Visit_Minutes,MATCH(February!B93,Physician_Type_Practice,0))</f>
        <v>0</v>
      </c>
      <c r="D93" s="43">
        <f t="shared" si="9"/>
        <v>0</v>
      </c>
      <c r="E93" s="17">
        <f>INDEX(Physician_Type_Bed_Rate,MATCH(February!B93,Physician_Type_Practice,0))*'Hospital Input Page'!$C$4</f>
        <v>2544.9602491674359</v>
      </c>
      <c r="F93" s="9">
        <f t="shared" si="7"/>
        <v>0</v>
      </c>
      <c r="H93" s="5">
        <f t="array" ref="H93">SUMIFS(Physician_Visit_February, Physician_Visit_Practice, February!B93, Independent_Contractor_Visits,  'Physician Types'!$D$81) + SUMIFS(Physician_Minutes_February,Physician_Minutes_Practice,February!B93, Independent_Contractor_Minutes, 'Physician Types'!$D$81)/INDEX(Physician_Type_Visit_Minutes,MATCH(February!B93,Physician_Type_Practice,0))</f>
        <v>0</v>
      </c>
      <c r="I93" s="43">
        <f t="shared" si="10"/>
        <v>0</v>
      </c>
      <c r="J93" s="10">
        <f>E93*'Physician Types'!$E$4</f>
        <v>76.348807475023079</v>
      </c>
      <c r="K93" s="10">
        <f t="shared" si="8"/>
        <v>0</v>
      </c>
    </row>
    <row r="94" spans="1:11" x14ac:dyDescent="0.2">
      <c r="A94" s="158">
        <v>1</v>
      </c>
      <c r="B94" s="107" t="s">
        <v>31</v>
      </c>
      <c r="C94" s="5">
        <f t="array" ref="C94">SUMIFS(Physician_Visit_February,Physician_Visit_Practice,February!B94,Physician_Visit_Hospitalists, "&lt;&gt;"&amp;'Physician Types'!$D$81)+SUMIFS(Physician_Visit_February,Physician_Visit_Practice,February!B94,Physician_Visit_Hospitalists,'Physician Types'!$D$81)*INDEX(Physician_Type_Hospitalists_Visit_Minutes,MATCH(February!B94,Physician_Type_Practice,0))/INDEX(Physician_Type_Visit_Minutes,MATCH(February!B94,Physician_Type_Practice,0)) +SUMIF(Physician_Minutes_Practice,February!B94,Physician_Minutes_February)/INDEX(Physician_Type_Visit_Minutes,MATCH(February!B94,Physician_Type_Practice,0))</f>
        <v>0</v>
      </c>
      <c r="D94" s="43">
        <f t="shared" si="9"/>
        <v>0</v>
      </c>
      <c r="E94" s="17">
        <f>INDEX(Physician_Type_Bed_Rate,MATCH(February!B94,Physician_Type_Practice,0))*'Hospital Input Page'!$C$4</f>
        <v>1258.818528154138</v>
      </c>
      <c r="F94" s="9">
        <f t="shared" si="7"/>
        <v>0</v>
      </c>
      <c r="H94" s="5">
        <f t="array" ref="H94">SUMIFS(Physician_Visit_February, Physician_Visit_Practice, February!B94, Independent_Contractor_Visits,  'Physician Types'!$D$81) + SUMIFS(Physician_Minutes_February,Physician_Minutes_Practice,February!B94, Independent_Contractor_Minutes, 'Physician Types'!$D$81)/INDEX(Physician_Type_Visit_Minutes,MATCH(February!B94,Physician_Type_Practice,0))</f>
        <v>0</v>
      </c>
      <c r="I94" s="43">
        <f t="shared" si="10"/>
        <v>0</v>
      </c>
      <c r="J94" s="10">
        <f>E94*'Physician Types'!$E$4</f>
        <v>37.764555844624141</v>
      </c>
      <c r="K94" s="10">
        <f t="shared" si="8"/>
        <v>0</v>
      </c>
    </row>
    <row r="95" spans="1:11" x14ac:dyDescent="0.2">
      <c r="A95" s="158">
        <v>2</v>
      </c>
      <c r="B95" s="107" t="s">
        <v>48</v>
      </c>
      <c r="C95" s="5">
        <f t="array" ref="C95">SUMIFS(Physician_Visit_February,Physician_Visit_Practice,February!B95,Physician_Visit_Hospitalists, "&lt;&gt;"&amp;'Physician Types'!$D$81)+SUMIFS(Physician_Visit_February,Physician_Visit_Practice,February!B95,Physician_Visit_Hospitalists,'Physician Types'!$D$81)*INDEX(Physician_Type_Hospitalists_Visit_Minutes,MATCH(February!B95,Physician_Type_Practice,0))/INDEX(Physician_Type_Visit_Minutes,MATCH(February!B95,Physician_Type_Practice,0)) +SUMIF(Physician_Minutes_Practice,February!B95,Physician_Minutes_February)/INDEX(Physician_Type_Visit_Minutes,MATCH(February!B95,Physician_Type_Practice,0))</f>
        <v>0</v>
      </c>
      <c r="D95" s="43">
        <f t="shared" ref="D95" si="11">C95*INDEX(Physician_Type_Visit_Minutes,MATCH(B95,Physician_Type_Practice,0))/INDEX(Physician_Type_FTE_Minutes,MATCH(B95,Physician_Type_Practice,0))</f>
        <v>0</v>
      </c>
      <c r="E95" s="17">
        <f>INDEX(Physician_Type_Bed_Rate,MATCH(February!B95,Physician_Type_Practice,0))*'Hospital Input Page'!$C$4</f>
        <v>2336.1329894581445</v>
      </c>
      <c r="F95" s="9">
        <f t="shared" ref="F95" si="12">D95*E95</f>
        <v>0</v>
      </c>
      <c r="H95" s="5">
        <f t="array" ref="H95">SUMIFS(Physician_Visit_February, Physician_Visit_Practice, February!B95, Independent_Contractor_Visits,  'Physician Types'!$D$81) + SUMIFS(Physician_Minutes_February,Physician_Minutes_Practice,February!B95, Independent_Contractor_Minutes, 'Physician Types'!$D$81)/INDEX(Physician_Type_Visit_Minutes,MATCH(February!B95,Physician_Type_Practice,0))</f>
        <v>0</v>
      </c>
      <c r="I95" s="43">
        <f t="shared" ref="I95" si="13">H95*INDEX(Physician_Type_Visit_Minutes,MATCH(B95,Physician_Type_Practice,0))/INDEX(Physician_Type_FTE_Minutes,MATCH(B95,Physician_Type_Practice,0))</f>
        <v>0</v>
      </c>
      <c r="J95" s="10">
        <f>E95*'Physician Types'!$E$4</f>
        <v>70.083989683744335</v>
      </c>
      <c r="K95" s="10">
        <f t="shared" ref="K95" si="14">I95*J95</f>
        <v>0</v>
      </c>
    </row>
    <row r="96" spans="1:11" x14ac:dyDescent="0.2">
      <c r="A96" s="158">
        <v>2</v>
      </c>
      <c r="B96" s="107" t="s">
        <v>49</v>
      </c>
      <c r="C96" s="5">
        <f t="array" ref="C96">SUMIFS(Physician_Visit_February,Physician_Visit_Practice,February!B96,Physician_Visit_Hospitalists, "&lt;&gt;"&amp;'Physician Types'!$D$81)+SUMIFS(Physician_Visit_February,Physician_Visit_Practice,February!B96,Physician_Visit_Hospitalists,'Physician Types'!$D$81)*INDEX(Physician_Type_Hospitalists_Visit_Minutes,MATCH(February!B96,Physician_Type_Practice,0))/INDEX(Physician_Type_Visit_Minutes,MATCH(February!B96,Physician_Type_Practice,0)) +SUMIF(Physician_Minutes_Practice,February!B96,Physician_Minutes_February)/INDEX(Physician_Type_Visit_Minutes,MATCH(February!B96,Physician_Type_Practice,0))</f>
        <v>0</v>
      </c>
      <c r="D96" s="43">
        <f t="shared" si="9"/>
        <v>0</v>
      </c>
      <c r="E96" s="17">
        <f>INDEX(Physician_Type_Bed_Rate,MATCH(February!B96,Physician_Type_Practice,0))*'Hospital Input Page'!$C$4</f>
        <v>1727.2161200254454</v>
      </c>
      <c r="F96" s="9">
        <f t="shared" si="7"/>
        <v>0</v>
      </c>
      <c r="H96" s="5">
        <f t="array" ref="H96">SUMIFS(Physician_Visit_February, Physician_Visit_Practice, February!B96, Independent_Contractor_Visits,  'Physician Types'!$D$81) + SUMIFS(Physician_Minutes_February,Physician_Minutes_Practice,February!B96, Independent_Contractor_Minutes, 'Physician Types'!$D$81)/INDEX(Physician_Type_Visit_Minutes,MATCH(February!B96,Physician_Type_Practice,0))</f>
        <v>0</v>
      </c>
      <c r="I96" s="43">
        <f t="shared" si="10"/>
        <v>0</v>
      </c>
      <c r="J96" s="10">
        <f>E96*'Physician Types'!$E$4</f>
        <v>51.816483600763362</v>
      </c>
      <c r="K96" s="10">
        <f t="shared" si="8"/>
        <v>0</v>
      </c>
    </row>
    <row r="97" spans="1:11" x14ac:dyDescent="0.2">
      <c r="A97" s="158">
        <v>1</v>
      </c>
      <c r="B97" s="107" t="s">
        <v>32</v>
      </c>
      <c r="C97" s="5">
        <f t="array" ref="C97">SUMIFS(Physician_Visit_February,Physician_Visit_Practice,February!B97,Physician_Visit_Hospitalists, "&lt;&gt;"&amp;'Physician Types'!$D$81)+SUMIFS(Physician_Visit_February,Physician_Visit_Practice,February!B97,Physician_Visit_Hospitalists,'Physician Types'!$D$81)*INDEX(Physician_Type_Hospitalists_Visit_Minutes,MATCH(February!B97,Physician_Type_Practice,0))/INDEX(Physician_Type_Visit_Minutes,MATCH(February!B97,Physician_Type_Practice,0)) +SUMIF(Physician_Minutes_Practice,February!B97,Physician_Minutes_February)/INDEX(Physician_Type_Visit_Minutes,MATCH(February!B97,Physician_Type_Practice,0))</f>
        <v>0</v>
      </c>
      <c r="D97" s="43">
        <f t="shared" si="9"/>
        <v>0</v>
      </c>
      <c r="E97" s="17">
        <f>INDEX(Physician_Type_Bed_Rate,MATCH(February!B97,Physician_Type_Practice,0))*'Hospital Input Page'!$C$4</f>
        <v>1297.8516608100804</v>
      </c>
      <c r="F97" s="9">
        <f t="shared" si="7"/>
        <v>0</v>
      </c>
      <c r="H97" s="5">
        <f t="array" ref="H97">SUMIFS(Physician_Visit_February, Physician_Visit_Practice, February!B97, Independent_Contractor_Visits,  'Physician Types'!$D$81) + SUMIFS(Physician_Minutes_February,Physician_Minutes_Practice,February!B97, Independent_Contractor_Minutes, 'Physician Types'!$D$81)/INDEX(Physician_Type_Visit_Minutes,MATCH(February!B97,Physician_Type_Practice,0))</f>
        <v>0</v>
      </c>
      <c r="I97" s="43">
        <f t="shared" si="10"/>
        <v>0</v>
      </c>
      <c r="J97" s="10">
        <f>E97*'Physician Types'!$E$4</f>
        <v>38.935549824302413</v>
      </c>
      <c r="K97" s="10">
        <f t="shared" si="8"/>
        <v>0</v>
      </c>
    </row>
    <row r="98" spans="1:11" x14ac:dyDescent="0.2">
      <c r="A98" s="158"/>
      <c r="B98" s="102" t="s">
        <v>20</v>
      </c>
      <c r="C98" s="5">
        <f t="array" ref="C98">SUMIFS(Physician_Visit_February,Physician_Visit_Practice,February!B98,Physician_Visit_Hospitalists, "&lt;&gt;"&amp;'Physician Types'!$D$81)+SUMIFS(Physician_Visit_February,Physician_Visit_Practice,February!B98,Physician_Visit_Hospitalists,'Physician Types'!$D$81)*INDEX(Physician_Type_Hospitalists_Visit_Minutes,MATCH(February!B98,Physician_Type_Practice,0))/INDEX(Physician_Type_Visit_Minutes,MATCH(February!B98,Physician_Type_Practice,0)) +SUMIF(Physician_Minutes_Practice,February!B98,Physician_Minutes_February)/INDEX(Physician_Type_Visit_Minutes,MATCH(February!B98,Physician_Type_Practice,0))</f>
        <v>471</v>
      </c>
      <c r="D98" s="43">
        <f t="shared" si="9"/>
        <v>0.90578664974326417</v>
      </c>
      <c r="E98" s="17">
        <f>INDEX(Physician_Type_Bed_Rate,MATCH(February!B98,Physician_Type_Practice,0))*'Hospital Input Page'!$C$4</f>
        <v>493.76912809766964</v>
      </c>
      <c r="F98" s="9">
        <f t="shared" si="7"/>
        <v>447.24948428624083</v>
      </c>
      <c r="H98" s="5">
        <f t="array" ref="H98">SUMIFS(Physician_Visit_February, Physician_Visit_Practice, February!B98, Independent_Contractor_Visits,  'Physician Types'!$D$81) + SUMIFS(Physician_Minutes_February,Physician_Minutes_Practice,February!B98, Independent_Contractor_Minutes, 'Physician Types'!$D$81)/INDEX(Physician_Type_Visit_Minutes,MATCH(February!B98,Physician_Type_Practice,0))</f>
        <v>0</v>
      </c>
      <c r="I98" s="43">
        <f t="shared" si="10"/>
        <v>0</v>
      </c>
      <c r="J98" s="10">
        <f>E98*'Physician Types'!$E$4</f>
        <v>14.813073842930088</v>
      </c>
      <c r="K98" s="10">
        <f t="shared" si="8"/>
        <v>0</v>
      </c>
    </row>
    <row r="99" spans="1:11" x14ac:dyDescent="0.2">
      <c r="A99" s="158">
        <v>1</v>
      </c>
      <c r="B99" s="107" t="s">
        <v>33</v>
      </c>
      <c r="C99" s="5">
        <f t="array" ref="C99">SUMIFS(Physician_Visit_February,Physician_Visit_Practice,February!B99,Physician_Visit_Hospitalists, "&lt;&gt;"&amp;'Physician Types'!$D$81)+SUMIFS(Physician_Visit_February,Physician_Visit_Practice,February!B99,Physician_Visit_Hospitalists,'Physician Types'!$D$81)*INDEX(Physician_Type_Hospitalists_Visit_Minutes,MATCH(February!B99,Physician_Type_Practice,0))/INDEX(Physician_Type_Visit_Minutes,MATCH(February!B99,Physician_Type_Practice,0)) +SUMIF(Physician_Minutes_Practice,February!B99,Physician_Minutes_February)/INDEX(Physician_Type_Visit_Minutes,MATCH(February!B99,Physician_Type_Practice,0))</f>
        <v>0</v>
      </c>
      <c r="D99" s="43">
        <f t="shared" si="9"/>
        <v>0</v>
      </c>
      <c r="E99" s="17">
        <f>INDEX(Physician_Type_Bed_Rate,MATCH(February!B99,Physician_Type_Practice,0))*'Hospital Input Page'!$C$4</f>
        <v>1268.5768113181236</v>
      </c>
      <c r="F99" s="9">
        <f t="shared" si="7"/>
        <v>0</v>
      </c>
      <c r="H99" s="5">
        <f t="array" ref="H99">SUMIFS(Physician_Visit_February, Physician_Visit_Practice, February!B99, Independent_Contractor_Visits,  'Physician Types'!$D$81) + SUMIFS(Physician_Minutes_February,Physician_Minutes_Practice,February!B99, Independent_Contractor_Minutes, 'Physician Types'!$D$81)/INDEX(Physician_Type_Visit_Minutes,MATCH(February!B99,Physician_Type_Practice,0))</f>
        <v>0</v>
      </c>
      <c r="I99" s="43">
        <f t="shared" si="10"/>
        <v>0</v>
      </c>
      <c r="J99" s="10">
        <f>E99*'Physician Types'!$E$4</f>
        <v>38.057304339543705</v>
      </c>
      <c r="K99" s="10">
        <f t="shared" si="8"/>
        <v>0</v>
      </c>
    </row>
    <row r="100" spans="1:11" x14ac:dyDescent="0.2">
      <c r="A100" s="158">
        <v>2</v>
      </c>
      <c r="B100" s="107" t="s">
        <v>50</v>
      </c>
      <c r="C100" s="5">
        <f t="array" ref="C100">SUMIFS(Physician_Visit_February,Physician_Visit_Practice,February!B100,Physician_Visit_Hospitalists, "&lt;&gt;"&amp;'Physician Types'!$D$81)+SUMIFS(Physician_Visit_February,Physician_Visit_Practice,February!B100,Physician_Visit_Hospitalists,'Physician Types'!$D$81)*INDEX(Physician_Type_Hospitalists_Visit_Minutes,MATCH(February!B100,Physician_Type_Practice,0))/INDEX(Physician_Type_Visit_Minutes,MATCH(February!B100,Physician_Type_Practice,0)) +SUMIF(Physician_Minutes_Practice,February!B100,Physician_Minutes_February)/INDEX(Physician_Type_Visit_Minutes,MATCH(February!B100,Physician_Type_Practice,0))</f>
        <v>0</v>
      </c>
      <c r="D100" s="43">
        <f t="shared" si="9"/>
        <v>0</v>
      </c>
      <c r="E100" s="17">
        <f>INDEX(Physician_Type_Bed_Rate,MATCH(February!B100,Physician_Type_Practice,0))*'Hospital Input Page'!$C$4</f>
        <v>2529.3469961050587</v>
      </c>
      <c r="F100" s="9">
        <f t="shared" si="7"/>
        <v>0</v>
      </c>
      <c r="H100" s="5">
        <f t="array" ref="H100">SUMIFS(Physician_Visit_February, Physician_Visit_Practice, February!B100, Independent_Contractor_Visits,  'Physician Types'!$D$81) + SUMIFS(Physician_Minutes_February,Physician_Minutes_Practice,February!B100, Independent_Contractor_Minutes, 'Physician Types'!$D$81)/INDEX(Physician_Type_Visit_Minutes,MATCH(February!B100,Physician_Type_Practice,0))</f>
        <v>0</v>
      </c>
      <c r="I100" s="43">
        <f t="shared" si="10"/>
        <v>0</v>
      </c>
      <c r="J100" s="10">
        <f>E100*'Physician Types'!$E$4</f>
        <v>75.880409883151756</v>
      </c>
      <c r="K100" s="10">
        <f t="shared" si="8"/>
        <v>0</v>
      </c>
    </row>
    <row r="101" spans="1:11" x14ac:dyDescent="0.2">
      <c r="A101" s="158">
        <v>2</v>
      </c>
      <c r="B101" s="107" t="s">
        <v>51</v>
      </c>
      <c r="C101" s="5">
        <f t="array" ref="C101">SUMIFS(Physician_Visit_February,Physician_Visit_Practice,February!B101,Physician_Visit_Hospitalists, "&lt;&gt;"&amp;'Physician Types'!$D$81)+SUMIFS(Physician_Visit_February,Physician_Visit_Practice,February!B101,Physician_Visit_Hospitalists,'Physician Types'!$D$81)*INDEX(Physician_Type_Hospitalists_Visit_Minutes,MATCH(February!B101,Physician_Type_Practice,0))/INDEX(Physician_Type_Visit_Minutes,MATCH(February!B101,Physician_Type_Practice,0)) +SUMIF(Physician_Minutes_Practice,February!B101,Physician_Minutes_February)/INDEX(Physician_Type_Visit_Minutes,MATCH(February!B101,Physician_Type_Practice,0))</f>
        <v>0</v>
      </c>
      <c r="D101" s="43">
        <f t="shared" si="9"/>
        <v>0</v>
      </c>
      <c r="E101" s="17">
        <f>INDEX(Physician_Type_Bed_Rate,MATCH(February!B101,Physician_Type_Practice,0))*'Hospital Input Page'!$C$4</f>
        <v>1887.2519639148086</v>
      </c>
      <c r="F101" s="9">
        <f t="shared" si="7"/>
        <v>0</v>
      </c>
      <c r="H101" s="5">
        <f t="array" ref="H101">SUMIFS(Physician_Visit_February, Physician_Visit_Practice, February!B101, Independent_Contractor_Visits,  'Physician Types'!$D$81) + SUMIFS(Physician_Minutes_February,Physician_Minutes_Practice,February!B101, Independent_Contractor_Minutes, 'Physician Types'!$D$81)/INDEX(Physician_Type_Visit_Minutes,MATCH(February!B101,Physician_Type_Practice,0))</f>
        <v>0</v>
      </c>
      <c r="I101" s="43">
        <f t="shared" si="10"/>
        <v>0</v>
      </c>
      <c r="J101" s="10">
        <f>E101*'Physician Types'!$E$4</f>
        <v>56.617558917444256</v>
      </c>
      <c r="K101" s="10">
        <f t="shared" si="8"/>
        <v>0</v>
      </c>
    </row>
    <row r="102" spans="1:11" x14ac:dyDescent="0.2">
      <c r="A102" s="158">
        <v>2</v>
      </c>
      <c r="B102" s="107" t="s">
        <v>52</v>
      </c>
      <c r="C102" s="5">
        <f t="array" ref="C102">SUMIFS(Physician_Visit_February,Physician_Visit_Practice,February!B102,Physician_Visit_Hospitalists, "&lt;&gt;"&amp;'Physician Types'!$D$81)+SUMIFS(Physician_Visit_February,Physician_Visit_Practice,February!B102,Physician_Visit_Hospitalists,'Physician Types'!$D$81)*INDEX(Physician_Type_Hospitalists_Visit_Minutes,MATCH(February!B102,Physician_Type_Practice,0))/INDEX(Physician_Type_Visit_Minutes,MATCH(February!B102,Physician_Type_Practice,0)) +SUMIF(Physician_Minutes_Practice,February!B102,Physician_Minutes_February)/INDEX(Physician_Type_Visit_Minutes,MATCH(February!B102,Physician_Type_Practice,0))</f>
        <v>0</v>
      </c>
      <c r="D102" s="43">
        <f t="shared" si="9"/>
        <v>0</v>
      </c>
      <c r="E102" s="17">
        <f>INDEX(Physician_Type_Bed_Rate,MATCH(February!B102,Physician_Type_Practice,0))*'Hospital Input Page'!$C$4</f>
        <v>2088.2725970929114</v>
      </c>
      <c r="F102" s="9">
        <f t="shared" si="7"/>
        <v>0</v>
      </c>
      <c r="H102" s="5">
        <f t="array" ref="H102">SUMIFS(Physician_Visit_February, Physician_Visit_Practice, February!B102, Independent_Contractor_Visits,  'Physician Types'!$D$81) + SUMIFS(Physician_Minutes_February,Physician_Minutes_Practice,February!B102, Independent_Contractor_Minutes, 'Physician Types'!$D$81)/INDEX(Physician_Type_Visit_Minutes,MATCH(February!B102,Physician_Type_Practice,0))</f>
        <v>0</v>
      </c>
      <c r="I102" s="43">
        <f t="shared" si="10"/>
        <v>0</v>
      </c>
      <c r="J102" s="10">
        <f>E102*'Physician Types'!$E$4</f>
        <v>62.648177912787339</v>
      </c>
      <c r="K102" s="10">
        <f t="shared" si="8"/>
        <v>0</v>
      </c>
    </row>
    <row r="103" spans="1:11" x14ac:dyDescent="0.2">
      <c r="A103" s="158">
        <v>4</v>
      </c>
      <c r="B103" s="107" t="s">
        <v>52</v>
      </c>
      <c r="C103" s="5">
        <f t="array" ref="C103">SUMIFS(Physician_Visit_February,Physician_Visit_Practice,February!B103,Physician_Visit_Hospitalists, "&lt;&gt;"&amp;'Physician Types'!$D$81)+SUMIFS(Physician_Visit_February,Physician_Visit_Practice,February!B103,Physician_Visit_Hospitalists,'Physician Types'!$D$81)*INDEX(Physician_Type_Hospitalists_Visit_Minutes,MATCH(February!B103,Physician_Type_Practice,0))/INDEX(Physician_Type_Visit_Minutes,MATCH(February!B103,Physician_Type_Practice,0)) +SUMIF(Physician_Minutes_Practice,February!B103,Physician_Minutes_February)/INDEX(Physician_Type_Visit_Minutes,MATCH(February!B103,Physician_Type_Practice,0))</f>
        <v>0</v>
      </c>
      <c r="D103" s="43">
        <f t="shared" si="9"/>
        <v>0</v>
      </c>
      <c r="E103" s="17">
        <f>INDEX(Physician_Type_Bed_Rate,MATCH(February!B103,Physician_Type_Practice,0))*'Hospital Input Page'!$C$4</f>
        <v>2088.2725970929114</v>
      </c>
      <c r="F103" s="9">
        <f t="shared" si="7"/>
        <v>0</v>
      </c>
      <c r="H103" s="5">
        <f t="array" ref="H103">SUMIFS(Physician_Visit_February, Physician_Visit_Practice, February!B103, Independent_Contractor_Visits,  'Physician Types'!$D$81) + SUMIFS(Physician_Minutes_February,Physician_Minutes_Practice,February!B103, Independent_Contractor_Minutes, 'Physician Types'!$D$81)/INDEX(Physician_Type_Visit_Minutes,MATCH(February!B103,Physician_Type_Practice,0))</f>
        <v>0</v>
      </c>
      <c r="I103" s="43">
        <f t="shared" si="10"/>
        <v>0</v>
      </c>
      <c r="J103" s="10">
        <f>E103*'Physician Types'!$E$4</f>
        <v>62.648177912787339</v>
      </c>
      <c r="K103" s="10">
        <f t="shared" si="8"/>
        <v>0</v>
      </c>
    </row>
    <row r="104" spans="1:11" x14ac:dyDescent="0.2">
      <c r="A104" s="158">
        <v>5</v>
      </c>
      <c r="B104" s="102" t="s">
        <v>68</v>
      </c>
      <c r="C104" s="5">
        <f t="array" ref="C104">SUMIFS(Physician_Visit_February,Physician_Visit_Practice,February!B104,Physician_Visit_Hospitalists, "&lt;&gt;"&amp;'Physician Types'!$D$81)+SUMIFS(Physician_Visit_February,Physician_Visit_Practice,February!B104,Physician_Visit_Hospitalists,'Physician Types'!$D$81)*INDEX(Physician_Type_Hospitalists_Visit_Minutes,MATCH(February!B104,Physician_Type_Practice,0))/INDEX(Physician_Type_Visit_Minutes,MATCH(February!B104,Physician_Type_Practice,0)) +SUMIF(Physician_Minutes_Practice,February!B104,Physician_Minutes_February)/INDEX(Physician_Type_Visit_Minutes,MATCH(February!B104,Physician_Type_Practice,0))</f>
        <v>0</v>
      </c>
      <c r="D104" s="43">
        <f t="shared" si="9"/>
        <v>0</v>
      </c>
      <c r="E104" s="17">
        <f>INDEX(Physician_Type_Bed_Rate,MATCH(February!B104,Physician_Type_Practice,0))*'Hospital Input Page'!$C$4</f>
        <v>2708.8994063223927</v>
      </c>
      <c r="F104" s="9">
        <f t="shared" si="7"/>
        <v>0</v>
      </c>
      <c r="H104" s="5">
        <f t="array" ref="H104">SUMIFS(Physician_Visit_February, Physician_Visit_Practice, February!B104, Independent_Contractor_Visits,  'Physician Types'!$D$81) + SUMIFS(Physician_Minutes_February,Physician_Minutes_Practice,February!B104, Independent_Contractor_Minutes, 'Physician Types'!$D$81)/INDEX(Physician_Type_Visit_Minutes,MATCH(February!B104,Physician_Type_Practice,0))</f>
        <v>0</v>
      </c>
      <c r="I104" s="43">
        <f t="shared" si="10"/>
        <v>0</v>
      </c>
      <c r="J104" s="10">
        <f>E104*'Physician Types'!$E$4</f>
        <v>81.266982189671779</v>
      </c>
      <c r="K104" s="10">
        <f t="shared" si="8"/>
        <v>0</v>
      </c>
    </row>
    <row r="105" spans="1:11" x14ac:dyDescent="0.2">
      <c r="A105" s="158">
        <v>2</v>
      </c>
      <c r="B105" s="107" t="s">
        <v>53</v>
      </c>
      <c r="C105" s="5">
        <f t="array" ref="C105">SUMIFS(Physician_Visit_February,Physician_Visit_Practice,February!B105,Physician_Visit_Hospitalists, "&lt;&gt;"&amp;'Physician Types'!$D$81)+SUMIFS(Physician_Visit_February,Physician_Visit_Practice,February!B105,Physician_Visit_Hospitalists,'Physician Types'!$D$81)*INDEX(Physician_Type_Hospitalists_Visit_Minutes,MATCH(February!B105,Physician_Type_Practice,0))/INDEX(Physician_Type_Visit_Minutes,MATCH(February!B105,Physician_Type_Practice,0)) +SUMIF(Physician_Minutes_Practice,February!B105,Physician_Minutes_February)/INDEX(Physician_Type_Visit_Minutes,MATCH(February!B105,Physician_Type_Practice,0))</f>
        <v>0</v>
      </c>
      <c r="D105" s="43">
        <f t="shared" si="9"/>
        <v>0</v>
      </c>
      <c r="E105" s="17">
        <f>INDEX(Physician_Type_Bed_Rate,MATCH(February!B105,Physician_Type_Practice,0))*'Hospital Input Page'!$C$4</f>
        <v>1619.8750052216039</v>
      </c>
      <c r="F105" s="9">
        <f t="shared" si="7"/>
        <v>0</v>
      </c>
      <c r="H105" s="5">
        <f t="array" ref="H105">SUMIFS(Physician_Visit_February, Physician_Visit_Practice, February!B105, Independent_Contractor_Visits,  'Physician Types'!$D$81) + SUMIFS(Physician_Minutes_February,Physician_Minutes_Practice,February!B105, Independent_Contractor_Minutes, 'Physician Types'!$D$81)/INDEX(Physician_Type_Visit_Minutes,MATCH(February!B105,Physician_Type_Practice,0))</f>
        <v>0</v>
      </c>
      <c r="I105" s="43">
        <f t="shared" si="10"/>
        <v>0</v>
      </c>
      <c r="J105" s="10">
        <f>E105*'Physician Types'!$E$4</f>
        <v>48.596250156648118</v>
      </c>
      <c r="K105" s="10">
        <f t="shared" si="8"/>
        <v>0</v>
      </c>
    </row>
    <row r="106" spans="1:11" x14ac:dyDescent="0.2">
      <c r="A106" s="158">
        <v>3</v>
      </c>
      <c r="B106" s="102" t="s">
        <v>59</v>
      </c>
      <c r="C106" s="5">
        <f t="array" ref="C106">SUMIFS(Physician_Visit_February,Physician_Visit_Practice,February!B106,Physician_Visit_Hospitalists, "&lt;&gt;"&amp;'Physician Types'!$D$81)+SUMIFS(Physician_Visit_February,Physician_Visit_Practice,February!B106,Physician_Visit_Hospitalists,'Physician Types'!$D$81)*INDEX(Physician_Type_Hospitalists_Visit_Minutes,MATCH(February!B106,Physician_Type_Practice,0))/INDEX(Physician_Type_Visit_Minutes,MATCH(February!B106,Physician_Type_Practice,0)) +SUMIF(Physician_Minutes_Practice,February!B106,Physician_Minutes_February)/INDEX(Physician_Type_Visit_Minutes,MATCH(February!B106,Physician_Type_Practice,0))</f>
        <v>0</v>
      </c>
      <c r="D106" s="43">
        <f t="shared" si="9"/>
        <v>0</v>
      </c>
      <c r="E106" s="17">
        <f>INDEX(Physician_Type_Bed_Rate,MATCH(February!B106,Physician_Type_Practice,0))*'Hospital Input Page'!$C$4</f>
        <v>380.57304339543714</v>
      </c>
      <c r="F106" s="9">
        <f t="shared" si="7"/>
        <v>0</v>
      </c>
      <c r="H106" s="5">
        <f t="array" ref="H106">SUMIFS(Physician_Visit_February, Physician_Visit_Practice, February!B106, Independent_Contractor_Visits,  'Physician Types'!$D$81) + SUMIFS(Physician_Minutes_February,Physician_Minutes_Practice,February!B106, Independent_Contractor_Minutes, 'Physician Types'!$D$81)/INDEX(Physician_Type_Visit_Minutes,MATCH(February!B106,Physician_Type_Practice,0))</f>
        <v>0</v>
      </c>
      <c r="I106" s="43">
        <f t="shared" si="10"/>
        <v>0</v>
      </c>
      <c r="J106" s="10">
        <f>E106*'Physician Types'!$E$4</f>
        <v>11.417191301863113</v>
      </c>
      <c r="K106" s="10">
        <f t="shared" si="8"/>
        <v>0</v>
      </c>
    </row>
    <row r="107" spans="1:11" x14ac:dyDescent="0.2">
      <c r="A107" s="158">
        <v>7</v>
      </c>
      <c r="B107" s="102" t="s">
        <v>75</v>
      </c>
      <c r="C107" s="5">
        <f t="array" ref="C107">SUMIFS(Physician_Visit_February,Physician_Visit_Practice,February!B107,Physician_Visit_Hospitalists, "&lt;&gt;"&amp;'Physician Types'!$D$81)+SUMIFS(Physician_Visit_February,Physician_Visit_Practice,February!B107,Physician_Visit_Hospitalists,'Physician Types'!$D$81)*INDEX(Physician_Type_Hospitalists_Visit_Minutes,MATCH(February!B107,Physician_Type_Practice,0))/INDEX(Physician_Type_Visit_Minutes,MATCH(February!B107,Physician_Type_Practice,0)) +SUMIF(Physician_Minutes_Practice,February!B107,Physician_Minutes_February)/INDEX(Physician_Type_Visit_Minutes,MATCH(February!B107,Physician_Type_Practice,0))</f>
        <v>0</v>
      </c>
      <c r="D107" s="43">
        <f t="shared" si="9"/>
        <v>0</v>
      </c>
      <c r="E107" s="17">
        <f>INDEX(Physician_Type_Bed_Rate,MATCH(February!B107,Physician_Type_Practice,0))*'Hospital Input Page'!$C$4</f>
        <v>7974.4690016090053</v>
      </c>
      <c r="F107" s="9">
        <f t="shared" si="7"/>
        <v>0</v>
      </c>
      <c r="H107" s="5">
        <f t="array" ref="H107">SUMIFS(Physician_Visit_February, Physician_Visit_Practice, February!B107, Independent_Contractor_Visits,  'Physician Types'!$D$81) + SUMIFS(Physician_Minutes_February,Physician_Minutes_Practice,February!B107, Independent_Contractor_Minutes, 'Physician Types'!$D$81)/INDEX(Physician_Type_Visit_Minutes,MATCH(February!B107,Physician_Type_Practice,0))</f>
        <v>0</v>
      </c>
      <c r="I107" s="43">
        <f t="shared" si="10"/>
        <v>0</v>
      </c>
      <c r="J107" s="10">
        <f>E107*'Physician Types'!$E$4</f>
        <v>239.23407004827015</v>
      </c>
      <c r="K107" s="10">
        <f t="shared" si="8"/>
        <v>0</v>
      </c>
    </row>
    <row r="108" spans="1:11" x14ac:dyDescent="0.2">
      <c r="A108" s="158">
        <v>4</v>
      </c>
      <c r="B108" s="128" t="s">
        <v>140</v>
      </c>
      <c r="C108" s="5">
        <f t="array" ref="C108">SUMIFS(Physician_Visit_February,Physician_Visit_Practice,February!B108,Physician_Visit_Hospitalists, "&lt;&gt;"&amp;'Physician Types'!$D$81)+SUMIFS(Physician_Visit_February,Physician_Visit_Practice,February!B108,Physician_Visit_Hospitalists,'Physician Types'!$D$81)*INDEX(Physician_Type_Hospitalists_Visit_Minutes,MATCH(February!B108,Physician_Type_Practice,0))/INDEX(Physician_Type_Visit_Minutes,MATCH(February!B108,Physician_Type_Practice,0)) +SUMIF(Physician_Minutes_Practice,February!B108,Physician_Minutes_February)/INDEX(Physician_Type_Visit_Minutes,MATCH(February!B108,Physician_Type_Practice,0))</f>
        <v>0</v>
      </c>
      <c r="D108" s="43">
        <f t="shared" si="9"/>
        <v>0</v>
      </c>
      <c r="E108" s="17">
        <f>INDEX(Physician_Type_Bed_Rate,MATCH(February!B108,Physician_Type_Practice,0))*'Hospital Input Page'!$C$4</f>
        <v>3159.7320884985265</v>
      </c>
      <c r="F108" s="9">
        <f t="shared" si="7"/>
        <v>0</v>
      </c>
      <c r="H108" s="5">
        <f t="array" ref="H108">SUMIFS(Physician_Visit_February, Physician_Visit_Practice, February!B108, Independent_Contractor_Visits,  'Physician Types'!$D$81) + SUMIFS(Physician_Minutes_February,Physician_Minutes_Practice,February!B108, Independent_Contractor_Minutes, 'Physician Types'!$D$81)/INDEX(Physician_Type_Visit_Minutes,MATCH(February!B108,Physician_Type_Practice,0))</f>
        <v>0</v>
      </c>
      <c r="I108" s="43">
        <f t="shared" si="10"/>
        <v>0</v>
      </c>
      <c r="J108" s="10">
        <f>E108*'Physician Types'!$E$4</f>
        <v>94.791962654955796</v>
      </c>
      <c r="K108" s="10">
        <f t="shared" si="8"/>
        <v>0</v>
      </c>
    </row>
    <row r="109" spans="1:11" x14ac:dyDescent="0.2">
      <c r="A109" s="158">
        <v>7</v>
      </c>
      <c r="B109" s="102" t="s">
        <v>76</v>
      </c>
      <c r="C109" s="5">
        <f t="array" ref="C109">SUMIFS(Physician_Visit_February,Physician_Visit_Practice,February!B109,Physician_Visit_Hospitalists, "&lt;&gt;"&amp;'Physician Types'!$D$81)+SUMIFS(Physician_Visit_February,Physician_Visit_Practice,February!B109,Physician_Visit_Hospitalists,'Physician Types'!$D$81)*INDEX(Physician_Type_Hospitalists_Visit_Minutes,MATCH(February!B109,Physician_Type_Practice,0))/INDEX(Physician_Type_Visit_Minutes,MATCH(February!B109,Physician_Type_Practice,0)) +SUMIF(Physician_Minutes_Practice,February!B109,Physician_Minutes_February)/INDEX(Physician_Type_Visit_Minutes,MATCH(February!B109,Physician_Type_Practice,0))</f>
        <v>0</v>
      </c>
      <c r="D109" s="43">
        <f t="shared" si="9"/>
        <v>0</v>
      </c>
      <c r="E109" s="17">
        <f>INDEX(Physician_Type_Bed_Rate,MATCH(February!B109,Physician_Type_Practice,0))*'Hospital Input Page'!$C$4</f>
        <v>7709.0436995485979</v>
      </c>
      <c r="F109" s="9">
        <f t="shared" si="7"/>
        <v>0</v>
      </c>
      <c r="H109" s="5">
        <f t="array" ref="H109">SUMIFS(Physician_Visit_February, Physician_Visit_Practice, February!B109, Independent_Contractor_Visits,  'Physician Types'!$D$81) + SUMIFS(Physician_Minutes_February,Physician_Minutes_Practice,February!B109, Independent_Contractor_Minutes, 'Physician Types'!$D$81)/INDEX(Physician_Type_Visit_Minutes,MATCH(February!B109,Physician_Type_Practice,0))</f>
        <v>0</v>
      </c>
      <c r="I109" s="43">
        <f t="shared" si="10"/>
        <v>0</v>
      </c>
      <c r="J109" s="10">
        <f>E109*'Physician Types'!$E$4</f>
        <v>231.27131098645793</v>
      </c>
      <c r="K109" s="10">
        <f t="shared" si="8"/>
        <v>0</v>
      </c>
    </row>
    <row r="110" spans="1:11" x14ac:dyDescent="0.2">
      <c r="A110" s="102"/>
      <c r="B110" s="164" t="s">
        <v>156</v>
      </c>
      <c r="C110" s="5" t="e">
        <f t="array" ref="C110">SUMIFS(Physician_Visit_February,Physician_Visit_Practice,February!B110,Physician_Visit_Hospitalists, "&lt;&gt;"&amp;'Physician Types'!$D$81)+SUMIFS(Physician_Visit_February,Physician_Visit_Practice,February!B110,Physician_Visit_Hospitalists,'Physician Types'!$D$81)*INDEX(Physician_Type_Hospitalists_Visit_Minutes,MATCH(February!B110,Physician_Type_Practice,0))/INDEX(Physician_Type_Visit_Minutes,MATCH(February!B110,Physician_Type_Practice,0)) +SUMIF(Physician_Minutes_Practice,February!B110,Physician_Minutes_February)/INDEX(Physician_Type_Visit_Minutes,MATCH(February!B110,Physician_Type_Practice,0))</f>
        <v>#REF!</v>
      </c>
      <c r="D110" s="43" t="e">
        <f t="shared" si="9"/>
        <v>#REF!</v>
      </c>
      <c r="E110" s="17" t="e">
        <f>INDEX(Physician_Type_Bed_Rate,MATCH(February!B110,Physician_Type_Practice,0))*'Hospital Input Page'!$C$4</f>
        <v>#REF!</v>
      </c>
      <c r="F110" s="9" t="e">
        <f t="shared" si="7"/>
        <v>#REF!</v>
      </c>
      <c r="H110" s="5" t="e">
        <f t="array" ref="H110">SUMIFS(Physician_Visit_February, Physician_Visit_Practice, February!B110, Independent_Contractor_Visits,  'Physician Types'!$D$81) + SUMIFS(Physician_Minutes_February,Physician_Minutes_Practice,February!B110, Independent_Contractor_Minutes, 'Physician Types'!$D$81)/INDEX(Physician_Type_Visit_Minutes,MATCH(February!B110,Physician_Type_Practice,0))</f>
        <v>#REF!</v>
      </c>
      <c r="I110" s="43" t="e">
        <f t="shared" si="10"/>
        <v>#REF!</v>
      </c>
      <c r="J110" s="10" t="e">
        <f>E110*'Physician Types'!$E$4</f>
        <v>#REF!</v>
      </c>
      <c r="K110" s="10" t="e">
        <f t="shared" si="8"/>
        <v>#REF!</v>
      </c>
    </row>
    <row r="111" spans="1:11" x14ac:dyDescent="0.2">
      <c r="A111" s="102"/>
      <c r="B111" s="164" t="s">
        <v>156</v>
      </c>
      <c r="C111" s="5" t="e">
        <f t="array" ref="C111">SUMIFS(Physician_Visit_February,Physician_Visit_Practice,February!B111,Physician_Visit_Hospitalists, "&lt;&gt;"&amp;'Physician Types'!$D$81)+SUMIFS(Physician_Visit_February,Physician_Visit_Practice,February!B111,Physician_Visit_Hospitalists,'Physician Types'!$D$81)*INDEX(Physician_Type_Hospitalists_Visit_Minutes,MATCH(February!B111,Physician_Type_Practice,0))/INDEX(Physician_Type_Visit_Minutes,MATCH(February!B111,Physician_Type_Practice,0)) +SUMIF(Physician_Minutes_Practice,February!B111,Physician_Minutes_February)/INDEX(Physician_Type_Visit_Minutes,MATCH(February!B111,Physician_Type_Practice,0))</f>
        <v>#REF!</v>
      </c>
      <c r="D111" s="43" t="e">
        <f t="shared" ref="D111:D112" si="15">C111*INDEX(Physician_Type_Visit_Minutes,MATCH(B111,Physician_Type_Practice,0))/INDEX(Physician_Type_FTE_Minutes,MATCH(B111,Physician_Type_Practice,0))</f>
        <v>#REF!</v>
      </c>
      <c r="E111" s="17" t="e">
        <f>INDEX(Physician_Type_Bed_Rate,MATCH(February!B111,Physician_Type_Practice,0))*'Hospital Input Page'!$C$4</f>
        <v>#REF!</v>
      </c>
      <c r="F111" s="9" t="e">
        <f t="shared" si="7"/>
        <v>#REF!</v>
      </c>
      <c r="H111" s="5" t="e">
        <f t="array" ref="H111">SUMIFS(Physician_Visit_February, Physician_Visit_Practice, February!B111, Independent_Contractor_Visits,  'Physician Types'!$D$81) + SUMIFS(Physician_Minutes_February,Physician_Minutes_Practice,February!B111, Independent_Contractor_Minutes, 'Physician Types'!$D$81)/INDEX(Physician_Type_Visit_Minutes,MATCH(February!B111,Physician_Type_Practice,0))</f>
        <v>#REF!</v>
      </c>
      <c r="I111" s="43" t="e">
        <f t="shared" ref="I111:I112" si="16">H111*INDEX(Physician_Type_Visit_Minutes,MATCH(B111,Physician_Type_Practice,0))/INDEX(Physician_Type_FTE_Minutes,MATCH(B111,Physician_Type_Practice,0))</f>
        <v>#REF!</v>
      </c>
      <c r="J111" s="10" t="e">
        <f>E111*'Physician Types'!$E$4</f>
        <v>#REF!</v>
      </c>
      <c r="K111" s="10" t="e">
        <f t="shared" si="8"/>
        <v>#REF!</v>
      </c>
    </row>
    <row r="112" spans="1:11" x14ac:dyDescent="0.2">
      <c r="A112" s="102"/>
      <c r="B112" s="164" t="s">
        <v>156</v>
      </c>
      <c r="C112" s="5" t="e">
        <f t="array" ref="C112">SUMIFS(Physician_Visit_February,Physician_Visit_Practice,February!B112,Physician_Visit_Hospitalists, "&lt;&gt;"&amp;'Physician Types'!$D$81)+SUMIFS(Physician_Visit_February,Physician_Visit_Practice,February!B112,Physician_Visit_Hospitalists,'Physician Types'!$D$81)*INDEX(Physician_Type_Hospitalists_Visit_Minutes,MATCH(February!B112,Physician_Type_Practice,0))/INDEX(Physician_Type_Visit_Minutes,MATCH(February!B112,Physician_Type_Practice,0)) +SUMIF(Physician_Minutes_Practice,February!B112,Physician_Minutes_February)/INDEX(Physician_Type_Visit_Minutes,MATCH(February!B112,Physician_Type_Practice,0))</f>
        <v>#REF!</v>
      </c>
      <c r="D112" s="43" t="e">
        <f t="shared" si="15"/>
        <v>#REF!</v>
      </c>
      <c r="E112" s="17" t="e">
        <f>INDEX(Physician_Type_Bed_Rate,MATCH(February!B112,Physician_Type_Practice,0))*'Hospital Input Page'!$C$4</f>
        <v>#REF!</v>
      </c>
      <c r="F112" s="9" t="e">
        <f t="shared" ref="F112" si="17">D112*E112</f>
        <v>#REF!</v>
      </c>
      <c r="H112" s="5" t="e">
        <f t="array" ref="H112">SUMIFS(Physician_Visit_February, Physician_Visit_Practice, February!B112, Independent_Contractor_Visits,  'Physician Types'!$D$81) + SUMIFS(Physician_Minutes_February,Physician_Minutes_Practice,February!B112, Independent_Contractor_Minutes, 'Physician Types'!$D$81)/INDEX(Physician_Type_Visit_Minutes,MATCH(February!B112,Physician_Type_Practice,0))</f>
        <v>#REF!</v>
      </c>
      <c r="I112" s="43" t="e">
        <f t="shared" si="16"/>
        <v>#REF!</v>
      </c>
      <c r="J112" s="10" t="e">
        <f>E112*'Physician Types'!$E$4</f>
        <v>#REF!</v>
      </c>
      <c r="K112" s="10" t="e">
        <f t="shared" ref="K112" si="18">I112*J112</f>
        <v>#REF!</v>
      </c>
    </row>
    <row r="113" spans="1:11" x14ac:dyDescent="0.2">
      <c r="A113" s="102"/>
      <c r="B113" s="164" t="s">
        <v>156</v>
      </c>
      <c r="C113" s="5" t="e">
        <f t="array" ref="C113">SUMIFS(Physician_Visit_February,Physician_Visit_Practice,February!B113,Physician_Visit_Hospitalists, "&lt;&gt;"&amp;'Physician Types'!$D$81)+SUMIFS(Physician_Visit_February,Physician_Visit_Practice,February!B113,Physician_Visit_Hospitalists,'Physician Types'!$D$81)*INDEX(Physician_Type_Hospitalists_Visit_Minutes,MATCH(February!B113,Physician_Type_Practice,0))/INDEX(Physician_Type_Visit_Minutes,MATCH(February!B113,Physician_Type_Practice,0)) +SUMIF(Physician_Minutes_Practice,February!B113,Physician_Minutes_February)/INDEX(Physician_Type_Visit_Minutes,MATCH(February!B113,Physician_Type_Practice,0))</f>
        <v>#REF!</v>
      </c>
      <c r="D113" s="43" t="e">
        <f t="shared" ref="D113:D116" si="19">C113*INDEX(Physician_Type_Visit_Minutes,MATCH(B113,Physician_Type_Practice,0))/INDEX(Physician_Type_FTE_Minutes,MATCH(B113,Physician_Type_Practice,0))</f>
        <v>#REF!</v>
      </c>
      <c r="E113" s="17" t="e">
        <f>INDEX(Physician_Type_Bed_Rate,MATCH(February!B113,Physician_Type_Practice,0))*'Hospital Input Page'!$C$4</f>
        <v>#REF!</v>
      </c>
      <c r="F113" s="9" t="e">
        <f t="shared" ref="F113:F116" si="20">D113*E113</f>
        <v>#REF!</v>
      </c>
      <c r="H113" s="5" t="e">
        <f t="array" ref="H113">SUMIFS(Physician_Visit_February, Physician_Visit_Practice, February!B113, Independent_Contractor_Visits,  'Physician Types'!$D$81) + SUMIFS(Physician_Minutes_February,Physician_Minutes_Practice,February!B113, Independent_Contractor_Minutes, 'Physician Types'!$D$81)/INDEX(Physician_Type_Visit_Minutes,MATCH(February!B113,Physician_Type_Practice,0))</f>
        <v>#REF!</v>
      </c>
      <c r="I113" s="43" t="e">
        <f t="shared" ref="I113:I116" si="21">H113*INDEX(Physician_Type_Visit_Minutes,MATCH(B113,Physician_Type_Practice,0))/INDEX(Physician_Type_FTE_Minutes,MATCH(B113,Physician_Type_Practice,0))</f>
        <v>#REF!</v>
      </c>
      <c r="J113" s="10" t="e">
        <f>E113*'Physician Types'!$E$4</f>
        <v>#REF!</v>
      </c>
      <c r="K113" s="10" t="e">
        <f t="shared" ref="K113:K116" si="22">I113*J113</f>
        <v>#REF!</v>
      </c>
    </row>
    <row r="114" spans="1:11" x14ac:dyDescent="0.2">
      <c r="A114" s="102"/>
      <c r="B114" s="164" t="s">
        <v>156</v>
      </c>
      <c r="C114" s="5" t="e">
        <f t="array" ref="C114">SUMIFS(Physician_Visit_February,Physician_Visit_Practice,February!B114,Physician_Visit_Hospitalists, "&lt;&gt;"&amp;'Physician Types'!$D$81)+SUMIFS(Physician_Visit_February,Physician_Visit_Practice,February!B114,Physician_Visit_Hospitalists,'Physician Types'!$D$81)*INDEX(Physician_Type_Hospitalists_Visit_Minutes,MATCH(February!B114,Physician_Type_Practice,0))/INDEX(Physician_Type_Visit_Minutes,MATCH(February!B114,Physician_Type_Practice,0)) +SUMIF(Physician_Minutes_Practice,February!B114,Physician_Minutes_February)/INDEX(Physician_Type_Visit_Minutes,MATCH(February!B114,Physician_Type_Practice,0))</f>
        <v>#REF!</v>
      </c>
      <c r="D114" s="43" t="e">
        <f t="shared" si="19"/>
        <v>#REF!</v>
      </c>
      <c r="E114" s="17" t="e">
        <f>INDEX(Physician_Type_Bed_Rate,MATCH(February!B114,Physician_Type_Practice,0))*'Hospital Input Page'!$C$4</f>
        <v>#REF!</v>
      </c>
      <c r="F114" s="9" t="e">
        <f t="shared" si="20"/>
        <v>#REF!</v>
      </c>
      <c r="H114" s="5" t="e">
        <f t="array" ref="H114">SUMIFS(Physician_Visit_February, Physician_Visit_Practice, February!B114, Independent_Contractor_Visits,  'Physician Types'!$D$81) + SUMIFS(Physician_Minutes_February,Physician_Minutes_Practice,February!B114, Independent_Contractor_Minutes, 'Physician Types'!$D$81)/INDEX(Physician_Type_Visit_Minutes,MATCH(February!B114,Physician_Type_Practice,0))</f>
        <v>#REF!</v>
      </c>
      <c r="I114" s="43" t="e">
        <f t="shared" si="21"/>
        <v>#REF!</v>
      </c>
      <c r="J114" s="10" t="e">
        <f>E114*'Physician Types'!$E$4</f>
        <v>#REF!</v>
      </c>
      <c r="K114" s="10" t="e">
        <f t="shared" si="22"/>
        <v>#REF!</v>
      </c>
    </row>
    <row r="115" spans="1:11" x14ac:dyDescent="0.2">
      <c r="A115" s="102"/>
      <c r="B115" s="164" t="s">
        <v>156</v>
      </c>
      <c r="C115" s="5" t="e">
        <f t="array" ref="C115">SUMIFS(Physician_Visit_February,Physician_Visit_Practice,February!B115,Physician_Visit_Hospitalists, "&lt;&gt;"&amp;'Physician Types'!$D$81)+SUMIFS(Physician_Visit_February,Physician_Visit_Practice,February!B115,Physician_Visit_Hospitalists,'Physician Types'!$D$81)*INDEX(Physician_Type_Hospitalists_Visit_Minutes,MATCH(February!B115,Physician_Type_Practice,0))/INDEX(Physician_Type_Visit_Minutes,MATCH(February!B115,Physician_Type_Practice,0)) +SUMIF(Physician_Minutes_Practice,February!B115,Physician_Minutes_February)/INDEX(Physician_Type_Visit_Minutes,MATCH(February!B115,Physician_Type_Practice,0))</f>
        <v>#REF!</v>
      </c>
      <c r="D115" s="43" t="e">
        <f t="shared" si="19"/>
        <v>#REF!</v>
      </c>
      <c r="E115" s="17" t="e">
        <f>INDEX(Physician_Type_Bed_Rate,MATCH(February!B115,Physician_Type_Practice,0))*'Hospital Input Page'!$C$4</f>
        <v>#REF!</v>
      </c>
      <c r="F115" s="9" t="e">
        <f t="shared" si="20"/>
        <v>#REF!</v>
      </c>
      <c r="H115" s="5" t="e">
        <f t="array" ref="H115">SUMIFS(Physician_Visit_February, Physician_Visit_Practice, February!B115, Independent_Contractor_Visits,  'Physician Types'!$D$81) + SUMIFS(Physician_Minutes_February,Physician_Minutes_Practice,February!B115, Independent_Contractor_Minutes, 'Physician Types'!$D$81)/INDEX(Physician_Type_Visit_Minutes,MATCH(February!B115,Physician_Type_Practice,0))</f>
        <v>#REF!</v>
      </c>
      <c r="I115" s="43" t="e">
        <f t="shared" si="21"/>
        <v>#REF!</v>
      </c>
      <c r="J115" s="10" t="e">
        <f>E115*'Physician Types'!$E$4</f>
        <v>#REF!</v>
      </c>
      <c r="K115" s="10" t="e">
        <f t="shared" si="22"/>
        <v>#REF!</v>
      </c>
    </row>
    <row r="116" spans="1:11" x14ac:dyDescent="0.2">
      <c r="A116" s="102"/>
      <c r="B116" s="164" t="s">
        <v>156</v>
      </c>
      <c r="C116" s="5" t="e">
        <f t="array" ref="C116">SUMIFS(Physician_Visit_February,Physician_Visit_Practice,February!B116,Physician_Visit_Hospitalists, "&lt;&gt;"&amp;'Physician Types'!$D$81)+SUMIFS(Physician_Visit_February,Physician_Visit_Practice,February!B116,Physician_Visit_Hospitalists,'Physician Types'!$D$81)*INDEX(Physician_Type_Hospitalists_Visit_Minutes,MATCH(February!B116,Physician_Type_Practice,0))/INDEX(Physician_Type_Visit_Minutes,MATCH(February!B116,Physician_Type_Practice,0)) +SUMIF(Physician_Minutes_Practice,February!B116,Physician_Minutes_February)/INDEX(Physician_Type_Visit_Minutes,MATCH(February!B116,Physician_Type_Practice,0))</f>
        <v>#REF!</v>
      </c>
      <c r="D116" s="43" t="e">
        <f t="shared" si="19"/>
        <v>#REF!</v>
      </c>
      <c r="E116" s="17" t="e">
        <f>INDEX(Physician_Type_Bed_Rate,MATCH(February!B116,Physician_Type_Practice,0))*'Hospital Input Page'!$C$4</f>
        <v>#REF!</v>
      </c>
      <c r="F116" s="9" t="e">
        <f t="shared" si="20"/>
        <v>#REF!</v>
      </c>
      <c r="H116" s="5" t="e">
        <f t="array" ref="H116">SUMIFS(Physician_Visit_February, Physician_Visit_Practice, February!B116, Independent_Contractor_Visits,  'Physician Types'!$D$81) + SUMIFS(Physician_Minutes_February,Physician_Minutes_Practice,February!B116, Independent_Contractor_Minutes, 'Physician Types'!$D$81)/INDEX(Physician_Type_Visit_Minutes,MATCH(February!B116,Physician_Type_Practice,0))</f>
        <v>#REF!</v>
      </c>
      <c r="I116" s="43" t="e">
        <f t="shared" si="21"/>
        <v>#REF!</v>
      </c>
      <c r="J116" s="10" t="e">
        <f>E116*'Physician Types'!$E$4</f>
        <v>#REF!</v>
      </c>
      <c r="K116" s="10" t="e">
        <f t="shared" si="22"/>
        <v>#REF!</v>
      </c>
    </row>
    <row r="119" spans="1:11" x14ac:dyDescent="0.2">
      <c r="B119" s="46" t="s">
        <v>106</v>
      </c>
      <c r="C119" s="149"/>
      <c r="D119" s="150"/>
      <c r="E119" s="151"/>
      <c r="F119" s="48">
        <f>SUMIF(F46:F116,"&lt;&gt;#REF!",F46:F116)</f>
        <v>2819.8824950365683</v>
      </c>
      <c r="G119" s="46"/>
      <c r="H119" s="46"/>
      <c r="I119" s="46"/>
      <c r="J119" s="46"/>
      <c r="K119" s="48">
        <f>SUMIF(K46:K116,"&lt;&gt;#REF!",K46:K116)</f>
        <v>0</v>
      </c>
    </row>
  </sheetData>
  <sheetProtection algorithmName="SHA-512" hashValue="5S1BcTBgF3qWUXkOauNLWDcCAJ9JLmFv+BVJQbhYQBbGnQ0i+BpTXlSv2tGUPuJBksS+JdcwEarE1fTXLxac2w==" saltValue="9oxPH9EfF+9xhS+yUw7DkQ==" spinCount="100000" sheet="1" objects="1" scenarios="1"/>
  <customSheetViews>
    <customSheetView guid="{4B7E793F-FF7C-4BA4-8EC7-9B719AA3D607}" fitToPage="1">
      <selection activeCell="B7" sqref="B7:C7"/>
      <pageMargins left="0.5" right="0.5" top="0.5" bottom="0.5" header="0.5" footer="0.5"/>
      <printOptions gridLines="1"/>
      <pageSetup scale="97" orientation="portrait" r:id="rId1"/>
      <headerFooter alignWithMargins="0"/>
    </customSheetView>
  </customSheetViews>
  <phoneticPr fontId="8" type="noConversion"/>
  <printOptions headings="1"/>
  <pageMargins left="0.5" right="0.5" top="0.5" bottom="0.5" header="0.5" footer="0.5"/>
  <pageSetup scale="94" orientation="portrait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K119"/>
  <sheetViews>
    <sheetView zoomScaleNormal="100" workbookViewId="0">
      <selection activeCell="E19" sqref="E19:F20"/>
    </sheetView>
  </sheetViews>
  <sheetFormatPr defaultRowHeight="12.75" x14ac:dyDescent="0.2"/>
  <cols>
    <col min="1" max="1" width="3.7109375" customWidth="1"/>
    <col min="2" max="2" width="52.42578125" customWidth="1"/>
    <col min="3" max="3" width="11.7109375" customWidth="1"/>
    <col min="4" max="4" width="10.42578125" style="8" customWidth="1"/>
    <col min="5" max="5" width="9.140625" style="6" bestFit="1" customWidth="1"/>
    <col min="6" max="6" width="12.85546875" customWidth="1"/>
    <col min="8" max="8" width="16.7109375" customWidth="1"/>
    <col min="11" max="11" width="11.140625" customWidth="1"/>
  </cols>
  <sheetData>
    <row r="1" spans="1:8" ht="15.75" x14ac:dyDescent="0.25">
      <c r="A1" s="18" t="str">
        <f>'Hospital Input Page'!A1</f>
        <v>Grover Dils</v>
      </c>
      <c r="B1" s="19"/>
      <c r="C1" s="18" t="s">
        <v>130</v>
      </c>
      <c r="D1" s="196">
        <f>'Hospital Input Page'!L6</f>
        <v>2020</v>
      </c>
      <c r="E1" s="19"/>
    </row>
    <row r="2" spans="1:8" ht="15.75" x14ac:dyDescent="0.25">
      <c r="A2" s="18" t="str">
        <f>'Hospital Input Page'!A2</f>
        <v>LiCON MONTHLY REPORT FORM (MRF)</v>
      </c>
      <c r="B2" s="19"/>
      <c r="C2" s="19"/>
      <c r="D2" s="20"/>
      <c r="E2" s="19"/>
    </row>
    <row r="3" spans="1:8" ht="15.75" customHeight="1" x14ac:dyDescent="0.25">
      <c r="A3" s="18"/>
      <c r="B3" s="21"/>
      <c r="D3" s="20"/>
      <c r="E3" s="22"/>
      <c r="F3" s="38"/>
    </row>
    <row r="5" spans="1:8" ht="15.75" x14ac:dyDescent="0.25">
      <c r="B5" s="21" t="s">
        <v>24</v>
      </c>
      <c r="C5" s="168">
        <f>F39</f>
        <v>4575.3894293501144</v>
      </c>
      <c r="E5"/>
    </row>
    <row r="6" spans="1:8" x14ac:dyDescent="0.2">
      <c r="C6" s="2"/>
    </row>
    <row r="7" spans="1:8" x14ac:dyDescent="0.2">
      <c r="B7" s="58" t="str">
        <f>'Hospital Input Page'!$B$5</f>
        <v>Deductible</v>
      </c>
      <c r="C7" s="58">
        <f>'Hospital Input Page'!$C$5</f>
        <v>10000</v>
      </c>
    </row>
    <row r="8" spans="1:8" x14ac:dyDescent="0.2">
      <c r="B8" s="1"/>
      <c r="C8" s="3"/>
    </row>
    <row r="9" spans="1:8" ht="13.5" thickBot="1" x14ac:dyDescent="0.25">
      <c r="A9" s="4"/>
      <c r="B9" s="23" t="s">
        <v>0</v>
      </c>
      <c r="C9" s="23" t="s">
        <v>1</v>
      </c>
      <c r="D9" s="24" t="s">
        <v>27</v>
      </c>
      <c r="E9" s="25"/>
      <c r="F9" s="49" t="s">
        <v>111</v>
      </c>
    </row>
    <row r="10" spans="1:8" ht="12.95" customHeight="1" x14ac:dyDescent="0.2">
      <c r="A10" s="29">
        <v>1</v>
      </c>
      <c r="B10" s="113" t="s">
        <v>2</v>
      </c>
      <c r="C10" s="5">
        <f>INDEX(Hospital_Exposure_March, MATCH(March!B10,Hospital_Exposure_Name,0))</f>
        <v>0.78</v>
      </c>
      <c r="D10" s="17">
        <f>INDEX(Hospital_Exposure_Rate,MATCH(March!B10,Hospital_Exposure_Name,0))</f>
        <v>527.69012023747894</v>
      </c>
      <c r="E10" s="28" t="s">
        <v>21</v>
      </c>
      <c r="F10" s="50">
        <f t="shared" ref="F10:F15" si="0">C10*D10</f>
        <v>411.59829378523358</v>
      </c>
    </row>
    <row r="11" spans="1:8" ht="12.95" customHeight="1" x14ac:dyDescent="0.2">
      <c r="A11" s="29">
        <f>A10+1</f>
        <v>2</v>
      </c>
      <c r="B11" s="118" t="s">
        <v>3</v>
      </c>
      <c r="C11" s="5">
        <f>INDEX(Hospital_Exposure_March, MATCH(March!B11,Hospital_Exposure_Name,0))</f>
        <v>0</v>
      </c>
      <c r="D11" s="17">
        <f>INDEX(Hospital_Exposure_Rate,MATCH(March!B11,Hospital_Exposure_Name,0))</f>
        <v>527.69012023747894</v>
      </c>
      <c r="E11" s="28" t="s">
        <v>21</v>
      </c>
      <c r="F11" s="50">
        <f t="shared" si="0"/>
        <v>0</v>
      </c>
    </row>
    <row r="12" spans="1:8" ht="12.95" customHeight="1" x14ac:dyDescent="0.2">
      <c r="A12" s="29">
        <f t="shared" ref="A12:A35" si="1">A11+1</f>
        <v>3</v>
      </c>
      <c r="B12" s="118" t="s">
        <v>4</v>
      </c>
      <c r="C12" s="5">
        <f>INDEX(Hospital_Exposure_March, MATCH(March!B12,Hospital_Exposure_Name,0))</f>
        <v>18.29</v>
      </c>
      <c r="D12" s="17">
        <f>INDEX(Hospital_Exposure_Rate,MATCH(March!B12,Hospital_Exposure_Name,0))</f>
        <v>63.322814428497473</v>
      </c>
      <c r="E12" s="28" t="s">
        <v>21</v>
      </c>
      <c r="F12" s="50">
        <f t="shared" si="0"/>
        <v>1158.1742758972186</v>
      </c>
    </row>
    <row r="13" spans="1:8" ht="12.95" customHeight="1" x14ac:dyDescent="0.2">
      <c r="A13" s="29">
        <f t="shared" si="1"/>
        <v>4</v>
      </c>
      <c r="B13" s="118" t="s">
        <v>5</v>
      </c>
      <c r="C13" s="5">
        <f>INDEX(Hospital_Exposure_March, MATCH(March!B13,Hospital_Exposure_Name,0))</f>
        <v>0</v>
      </c>
      <c r="D13" s="17">
        <f>INDEX(Hospital_Exposure_Rate,MATCH(March!B13,Hospital_Exposure_Name,0))</f>
        <v>369.38308416623522</v>
      </c>
      <c r="E13" s="28" t="s">
        <v>21</v>
      </c>
      <c r="F13" s="50">
        <f t="shared" si="0"/>
        <v>0</v>
      </c>
    </row>
    <row r="14" spans="1:8" ht="12.95" customHeight="1" x14ac:dyDescent="0.2">
      <c r="A14" s="29">
        <f t="shared" si="1"/>
        <v>5</v>
      </c>
      <c r="B14" s="118" t="s">
        <v>6</v>
      </c>
      <c r="C14" s="5">
        <f>INDEX(Hospital_Exposure_March, MATCH(March!B14,Hospital_Exposure_Name,0))</f>
        <v>0</v>
      </c>
      <c r="D14" s="17">
        <f>INDEX(Hospital_Exposure_Rate,MATCH(March!B14,Hospital_Exposure_Name,0))</f>
        <v>237.988244227103</v>
      </c>
      <c r="E14" s="28" t="s">
        <v>21</v>
      </c>
      <c r="F14" s="50">
        <f t="shared" si="0"/>
        <v>0</v>
      </c>
    </row>
    <row r="15" spans="1:8" ht="12.95" customHeight="1" x14ac:dyDescent="0.2">
      <c r="A15" s="29">
        <f t="shared" si="1"/>
        <v>6</v>
      </c>
      <c r="B15" s="118" t="s">
        <v>7</v>
      </c>
      <c r="C15" s="5">
        <f>INDEX(Hospital_Exposure_March, MATCH(March!B15,Hospital_Exposure_Name,0))</f>
        <v>0</v>
      </c>
      <c r="D15" s="17">
        <f>INDEX(Hospital_Exposure_Rate,MATCH(March!B15,Hospital_Exposure_Name,0))</f>
        <v>184.69154208311761</v>
      </c>
      <c r="E15" s="28" t="s">
        <v>21</v>
      </c>
      <c r="F15" s="50">
        <f t="shared" si="0"/>
        <v>0</v>
      </c>
    </row>
    <row r="16" spans="1:8" ht="12.95" customHeight="1" x14ac:dyDescent="0.2">
      <c r="A16" s="29">
        <f t="shared" si="1"/>
        <v>7</v>
      </c>
      <c r="B16" s="122" t="s">
        <v>114</v>
      </c>
      <c r="C16" s="5">
        <f>INDEX(Hospital_Exposure_March, MATCH(March!B16,Hospital_Exposure_Name,0))</f>
        <v>80</v>
      </c>
      <c r="D16" s="17">
        <f>INDEX(Hospital_Exposure_Rate,MATCH(March!B16,Hospital_Exposure_Name,0))</f>
        <v>89.707320440371419</v>
      </c>
      <c r="E16" s="28" t="s">
        <v>22</v>
      </c>
      <c r="F16" s="50">
        <f>C16*D16/100</f>
        <v>71.765856352297135</v>
      </c>
      <c r="H16" s="31"/>
    </row>
    <row r="17" spans="1:8" ht="12.95" customHeight="1" x14ac:dyDescent="0.2">
      <c r="A17" s="29">
        <f t="shared" si="1"/>
        <v>8</v>
      </c>
      <c r="B17" s="122" t="s">
        <v>115</v>
      </c>
      <c r="C17" s="5">
        <f>INDEX(Hospital_Exposure_March, MATCH(March!B17,Hospital_Exposure_Name,0))</f>
        <v>1237</v>
      </c>
      <c r="D17" s="17">
        <f>INDEX(Hospital_Exposure_Rate,MATCH(March!B17,Hospital_Exposure_Name,0))</f>
        <v>21.107604809499158</v>
      </c>
      <c r="E17" s="28" t="s">
        <v>22</v>
      </c>
      <c r="F17" s="50">
        <f>C17*D17/100</f>
        <v>261.10107149350455</v>
      </c>
      <c r="H17" s="31"/>
    </row>
    <row r="18" spans="1:8" ht="12.95" customHeight="1" x14ac:dyDescent="0.2">
      <c r="A18" s="29">
        <f t="shared" si="1"/>
        <v>9</v>
      </c>
      <c r="B18" s="122" t="s">
        <v>116</v>
      </c>
      <c r="C18" s="5">
        <f>INDEX(Hospital_Exposure_March, MATCH(March!B18,Hospital_Exposure_Name,0))</f>
        <v>0</v>
      </c>
      <c r="D18" s="17">
        <f>INDEX(Hospital_Exposure_Rate,MATCH(March!B18,Hospital_Exposure_Name,0))</f>
        <v>1.1609182645224538</v>
      </c>
      <c r="E18" s="28" t="s">
        <v>22</v>
      </c>
      <c r="F18" s="50">
        <f>C18*D18/100</f>
        <v>0</v>
      </c>
    </row>
    <row r="19" spans="1:8" ht="12.95" customHeight="1" x14ac:dyDescent="0.2">
      <c r="A19" s="29">
        <f t="shared" si="1"/>
        <v>10</v>
      </c>
      <c r="B19" s="118" t="s">
        <v>8</v>
      </c>
      <c r="C19" s="5">
        <f>INDEX(Hospital_Exposure_March, MATCH(March!B19,Hospital_Exposure_Name,0))</f>
        <v>0</v>
      </c>
      <c r="D19" s="17">
        <f>INDEX(Hospital_Exposure_Rate,MATCH(March!B19,Hospital_Exposure_Name,0))</f>
        <v>26.384506011873949</v>
      </c>
      <c r="E19" s="28" t="s">
        <v>23</v>
      </c>
      <c r="F19" s="50">
        <f>C19*D19</f>
        <v>0</v>
      </c>
    </row>
    <row r="20" spans="1:8" ht="12.95" customHeight="1" x14ac:dyDescent="0.2">
      <c r="A20" s="29">
        <f t="shared" si="1"/>
        <v>11</v>
      </c>
      <c r="B20" s="118" t="s">
        <v>9</v>
      </c>
      <c r="C20" s="5">
        <f>INDEX(Hospital_Exposure_March, MATCH(March!B20,Hospital_Exposure_Name,0))</f>
        <v>0</v>
      </c>
      <c r="D20" s="17">
        <f>INDEX(Hospital_Exposure_Rate,MATCH(March!B20,Hospital_Exposure_Name,0))</f>
        <v>10.553802404749579</v>
      </c>
      <c r="E20" s="28" t="s">
        <v>23</v>
      </c>
      <c r="F20" s="50">
        <f>C20*D20</f>
        <v>0</v>
      </c>
    </row>
    <row r="21" spans="1:8" ht="12.95" customHeight="1" x14ac:dyDescent="0.2">
      <c r="A21" s="29">
        <f t="shared" si="1"/>
        <v>12</v>
      </c>
      <c r="B21" s="118" t="s">
        <v>10</v>
      </c>
      <c r="C21" s="5">
        <f>INDEX(Hospital_Exposure_March, MATCH(March!B21,Hospital_Exposure_Name,0))</f>
        <v>0</v>
      </c>
      <c r="D21" s="17">
        <f>INDEX(Hospital_Exposure_Rate,MATCH(March!B21,Hospital_Exposure_Name,0))</f>
        <v>79.153518035621843</v>
      </c>
      <c r="E21" s="28" t="s">
        <v>23</v>
      </c>
      <c r="F21" s="50">
        <f t="shared" ref="F21:F23" si="2">C21*D21</f>
        <v>0</v>
      </c>
    </row>
    <row r="22" spans="1:8" ht="12.95" customHeight="1" x14ac:dyDescent="0.2">
      <c r="A22" s="29">
        <f t="shared" si="1"/>
        <v>13</v>
      </c>
      <c r="B22" s="118" t="s">
        <v>11</v>
      </c>
      <c r="C22" s="5">
        <f>INDEX(Hospital_Exposure_March, MATCH(March!B22,Hospital_Exposure_Name,0))</f>
        <v>0</v>
      </c>
      <c r="D22" s="17">
        <f>INDEX(Hospital_Exposure_Rate,MATCH(March!B22,Hospital_Exposure_Name,0))</f>
        <v>79.153518035621843</v>
      </c>
      <c r="E22" s="28" t="s">
        <v>23</v>
      </c>
      <c r="F22" s="50">
        <f t="shared" si="2"/>
        <v>0</v>
      </c>
    </row>
    <row r="23" spans="1:8" ht="12.95" customHeight="1" x14ac:dyDescent="0.2">
      <c r="A23" s="29">
        <f t="shared" si="1"/>
        <v>14</v>
      </c>
      <c r="B23" s="122" t="s">
        <v>117</v>
      </c>
      <c r="C23" s="5">
        <f>INDEX(Hospital_Exposure_March, MATCH(March!B23,Hospital_Exposure_Name,0))</f>
        <v>0</v>
      </c>
      <c r="D23" s="17">
        <f>INDEX(Hospital_Exposure_Rate,MATCH(March!B23,Hospital_Exposure_Name,0))</f>
        <v>341.38512486587695</v>
      </c>
      <c r="E23" s="28" t="s">
        <v>23</v>
      </c>
      <c r="F23" s="50">
        <f t="shared" si="2"/>
        <v>0</v>
      </c>
    </row>
    <row r="24" spans="1:8" ht="12.95" customHeight="1" x14ac:dyDescent="0.2">
      <c r="A24" s="29">
        <f t="shared" si="1"/>
        <v>15</v>
      </c>
      <c r="B24" s="74" t="s">
        <v>136</v>
      </c>
      <c r="C24" s="5">
        <f>INDEX($C$47:$C$113,MATCH(B24,$B$47:$B$113,0))</f>
        <v>72</v>
      </c>
      <c r="D24" s="5">
        <f>INDEX($E$47:$E$113,MATCH(B24,$B$47:$B$113,0))</f>
        <v>1727.2161200254454</v>
      </c>
      <c r="E24" s="28" t="s">
        <v>22</v>
      </c>
      <c r="F24" s="50">
        <f>SUMIF(B46:B112,B24,F46:F112)+SUMIF(B46:B112,B54,K46:K112)</f>
        <v>1243.5956064183206</v>
      </c>
    </row>
    <row r="25" spans="1:8" ht="12.95" customHeight="1" x14ac:dyDescent="0.2">
      <c r="A25" s="29">
        <f t="shared" si="1"/>
        <v>16</v>
      </c>
      <c r="B25" s="4" t="s">
        <v>12</v>
      </c>
      <c r="C25" s="5">
        <f>SUMIF($A$47:$A$113, 1,$D$47:$D$113)</f>
        <v>0</v>
      </c>
      <c r="D25" s="5">
        <f>IFERROR(F25/C25,0)</f>
        <v>0</v>
      </c>
      <c r="E25" s="28" t="s">
        <v>23</v>
      </c>
      <c r="F25" s="51">
        <f>SUMIF($A$46:$A$112, 1,$F$46:$F$112) + SUMIF($A$46:$A$112, 1,$K$46:$K$112)</f>
        <v>0</v>
      </c>
    </row>
    <row r="26" spans="1:8" ht="12.95" customHeight="1" x14ac:dyDescent="0.2">
      <c r="A26" s="29">
        <f t="shared" si="1"/>
        <v>17</v>
      </c>
      <c r="B26" s="4" t="s">
        <v>13</v>
      </c>
      <c r="C26" s="5">
        <f>SUMIF($A$47:$A$113, 2,$D$47:$D$113)</f>
        <v>0</v>
      </c>
      <c r="D26" s="5">
        <f t="shared" ref="D26:D35" si="3">IFERROR(F26/C26,0)</f>
        <v>0</v>
      </c>
      <c r="E26" s="28" t="s">
        <v>23</v>
      </c>
      <c r="F26" s="51">
        <f>SUMIF($A$46:$A$112, 2,$F$46:$F$112) + SUMIF($A$46:$A$112, 2,$K$46:$K$112)</f>
        <v>0</v>
      </c>
    </row>
    <row r="27" spans="1:8" ht="12.95" customHeight="1" x14ac:dyDescent="0.2">
      <c r="A27" s="29">
        <f t="shared" si="1"/>
        <v>18</v>
      </c>
      <c r="B27" s="4" t="s">
        <v>14</v>
      </c>
      <c r="C27" s="5">
        <f>SUMIF($A$47:$A$113, 3,$D$47:$D$113)</f>
        <v>0.48462470432123689</v>
      </c>
      <c r="D27" s="5">
        <f t="shared" si="3"/>
        <v>1951.6566327971129</v>
      </c>
      <c r="E27" s="28" t="s">
        <v>23</v>
      </c>
      <c r="F27" s="51">
        <f>SUMIF($A$46:$A$112, 3,$F$46:$F$112) + SUMIF($A$46:$A$112, 3,$K$46:$K$112)</f>
        <v>945.8210186058817</v>
      </c>
    </row>
    <row r="28" spans="1:8" ht="12.95" customHeight="1" x14ac:dyDescent="0.2">
      <c r="A28" s="29">
        <f t="shared" si="1"/>
        <v>19</v>
      </c>
      <c r="B28" s="4" t="s">
        <v>15</v>
      </c>
      <c r="C28" s="5">
        <f>SUMIF($A$47:$A$113, 4,$D$47:$D$113)</f>
        <v>0</v>
      </c>
      <c r="D28" s="5">
        <f t="shared" si="3"/>
        <v>0</v>
      </c>
      <c r="E28" s="28" t="s">
        <v>23</v>
      </c>
      <c r="F28" s="51">
        <f>SUMIF($A$46:$A$112, 4,$F$46:$F$112) + SUMIF($A$46:$A$112, 4,$K$46:$K$112)</f>
        <v>0</v>
      </c>
    </row>
    <row r="29" spans="1:8" ht="12.95" customHeight="1" x14ac:dyDescent="0.2">
      <c r="A29" s="29">
        <f t="shared" si="1"/>
        <v>20</v>
      </c>
      <c r="B29" s="4" t="s">
        <v>16</v>
      </c>
      <c r="C29" s="5">
        <f>SUMIF($A$47:$A$113, 5,$D$47:$D$113)</f>
        <v>0</v>
      </c>
      <c r="D29" s="5">
        <f t="shared" si="3"/>
        <v>0</v>
      </c>
      <c r="E29" s="28" t="s">
        <v>23</v>
      </c>
      <c r="F29" s="51">
        <f>SUMIF($A$46:$A$112, 5,$F$46:$F$112) + SUMIF($A$46:$A$112, 5,$K$46:$K$112)</f>
        <v>0</v>
      </c>
    </row>
    <row r="30" spans="1:8" ht="12.95" customHeight="1" x14ac:dyDescent="0.2">
      <c r="A30" s="29">
        <f t="shared" si="1"/>
        <v>21</v>
      </c>
      <c r="B30" s="4" t="s">
        <v>17</v>
      </c>
      <c r="C30" s="5">
        <f>SUMIF($A$47:$A$113, 6,$D$47:$D$113)</f>
        <v>0</v>
      </c>
      <c r="D30" s="5">
        <f t="shared" si="3"/>
        <v>0</v>
      </c>
      <c r="E30" s="28" t="s">
        <v>23</v>
      </c>
      <c r="F30" s="51">
        <f>SUMIF($A$46:$A$112, 6,$F$46:$F$112) + SUMIF($A$46:$A$112, 6,$K$46:$K$112)</f>
        <v>0</v>
      </c>
    </row>
    <row r="31" spans="1:8" ht="12.95" customHeight="1" x14ac:dyDescent="0.2">
      <c r="A31" s="29">
        <f t="shared" si="1"/>
        <v>22</v>
      </c>
      <c r="B31" s="4" t="s">
        <v>18</v>
      </c>
      <c r="C31" s="5">
        <f>SUMIF($A$47:$A$113, 7,$D$47:$D$113)</f>
        <v>0</v>
      </c>
      <c r="D31" s="5">
        <f t="shared" si="3"/>
        <v>0</v>
      </c>
      <c r="E31" s="28" t="s">
        <v>23</v>
      </c>
      <c r="F31" s="51">
        <f>SUMIF($A$46:$A$112, 7,$F$46:$F$112) + SUMIF($A$46:$A$112, 7,$K$46:$K$112)</f>
        <v>0</v>
      </c>
    </row>
    <row r="32" spans="1:8" ht="12.95" customHeight="1" x14ac:dyDescent="0.2">
      <c r="A32" s="29">
        <f t="shared" si="1"/>
        <v>23</v>
      </c>
      <c r="B32" s="4" t="s">
        <v>19</v>
      </c>
      <c r="C32" s="5">
        <f>SUMIF($A$47:$A$113, 8,$D$47:$D$113)</f>
        <v>0</v>
      </c>
      <c r="D32" s="5">
        <f t="shared" si="3"/>
        <v>0</v>
      </c>
      <c r="E32" s="28" t="s">
        <v>23</v>
      </c>
      <c r="F32" s="51">
        <f>SUMIF($A$46:$A$112, 8,$F$46:$F$112) + SUMIF($A$46:$A$112, 8,$K$46:$K$112)</f>
        <v>0</v>
      </c>
    </row>
    <row r="33" spans="1:11" ht="12.95" customHeight="1" x14ac:dyDescent="0.2">
      <c r="A33" s="29">
        <f t="shared" si="1"/>
        <v>24</v>
      </c>
      <c r="B33" t="s">
        <v>79</v>
      </c>
      <c r="C33" s="5">
        <f>SUMIF($B$47:$B$113, B33,$D$47:$D$113)</f>
        <v>0</v>
      </c>
      <c r="D33" s="5">
        <f t="shared" si="3"/>
        <v>0</v>
      </c>
      <c r="E33" s="28" t="s">
        <v>23</v>
      </c>
      <c r="F33" s="51">
        <f>SUMIF($B$46:$B$112, B33,$F$46:$F$112) + SUMIF($B$46:$B$112, B33,$K$46:$K$112)</f>
        <v>0</v>
      </c>
    </row>
    <row r="34" spans="1:11" ht="12.95" customHeight="1" x14ac:dyDescent="0.2">
      <c r="A34" s="29">
        <f t="shared" si="1"/>
        <v>25</v>
      </c>
      <c r="B34" t="s">
        <v>20</v>
      </c>
      <c r="C34" s="5">
        <f>SUMIF($B$47:$B$113, B34,$D$47:$D$113)</f>
        <v>0.97886497817265705</v>
      </c>
      <c r="D34" s="5">
        <f t="shared" si="3"/>
        <v>493.76912809766964</v>
      </c>
      <c r="E34" s="28" t="s">
        <v>23</v>
      </c>
      <c r="F34" s="51">
        <f t="shared" ref="F34:F35" si="4">SUMIF($B$46:$B$112, B34,$F$46:$F$112) + SUMIF($B$46:$B$112, B34,$K$46:$K$112)</f>
        <v>483.33330679765731</v>
      </c>
    </row>
    <row r="35" spans="1:11" ht="12.95" customHeight="1" x14ac:dyDescent="0.2">
      <c r="A35" s="29">
        <f t="shared" si="1"/>
        <v>26</v>
      </c>
      <c r="B35" t="s">
        <v>80</v>
      </c>
      <c r="C35" s="5">
        <f>SUMIF($B$47:$B$113, B35,$D$47:$D$113)</f>
        <v>0</v>
      </c>
      <c r="D35" s="5">
        <f t="shared" si="3"/>
        <v>0</v>
      </c>
      <c r="E35" s="28" t="s">
        <v>23</v>
      </c>
      <c r="F35" s="51">
        <f t="shared" si="4"/>
        <v>0</v>
      </c>
    </row>
    <row r="36" spans="1:11" x14ac:dyDescent="0.2">
      <c r="F36" s="50"/>
    </row>
    <row r="37" spans="1:11" x14ac:dyDescent="0.2">
      <c r="F37" s="50"/>
    </row>
    <row r="38" spans="1:11" x14ac:dyDescent="0.2">
      <c r="B38" s="4"/>
      <c r="C38" s="5"/>
      <c r="D38" s="17"/>
      <c r="E38" s="7"/>
      <c r="F38" s="52"/>
    </row>
    <row r="39" spans="1:11" x14ac:dyDescent="0.2">
      <c r="A39" s="31"/>
      <c r="B39" s="53" t="s">
        <v>84</v>
      </c>
      <c r="C39" s="46"/>
      <c r="D39" s="54"/>
      <c r="E39" s="55"/>
      <c r="F39" s="169">
        <f>SUM(F10:F35)</f>
        <v>4575.3894293501144</v>
      </c>
    </row>
    <row r="40" spans="1:11" x14ac:dyDescent="0.2">
      <c r="A40" s="31"/>
      <c r="B40" s="34"/>
      <c r="C40" s="31"/>
      <c r="D40" s="35"/>
      <c r="E40" s="36"/>
      <c r="F40" s="16"/>
    </row>
    <row r="41" spans="1:11" x14ac:dyDescent="0.2">
      <c r="F41" s="10"/>
    </row>
    <row r="42" spans="1:11" x14ac:dyDescent="0.2">
      <c r="F42" s="10"/>
      <c r="H42" s="45" t="s">
        <v>148</v>
      </c>
      <c r="I42" s="45"/>
      <c r="J42" s="45"/>
      <c r="K42" s="45"/>
    </row>
    <row r="43" spans="1:11" ht="25.5" x14ac:dyDescent="0.2">
      <c r="A43" s="23" t="s">
        <v>85</v>
      </c>
      <c r="B43" s="41" t="s">
        <v>86</v>
      </c>
      <c r="C43" s="46" t="s">
        <v>81</v>
      </c>
      <c r="D43" s="47" t="s">
        <v>82</v>
      </c>
      <c r="E43" s="24" t="s">
        <v>27</v>
      </c>
      <c r="F43" s="23" t="s">
        <v>26</v>
      </c>
      <c r="H43" s="44" t="s">
        <v>143</v>
      </c>
      <c r="I43" s="47" t="s">
        <v>82</v>
      </c>
      <c r="J43" s="24" t="s">
        <v>27</v>
      </c>
      <c r="K43" s="23" t="s">
        <v>149</v>
      </c>
    </row>
    <row r="44" spans="1:11" x14ac:dyDescent="0.2">
      <c r="E44" s="8"/>
    </row>
    <row r="45" spans="1:11" x14ac:dyDescent="0.2">
      <c r="E45" s="8"/>
    </row>
    <row r="46" spans="1:11" x14ac:dyDescent="0.2">
      <c r="A46" s="158">
        <v>1</v>
      </c>
      <c r="B46" s="107" t="s">
        <v>28</v>
      </c>
      <c r="C46" s="5">
        <f>SUMIFS(Physician_Visit_March,Physician_Visit_Practice,March!B46,Physician_Visit_Hospitalists, "&lt;&gt;"&amp;'Physician Types'!$D$81)+SUMIFS(Physician_Visit_March,Physician_Visit_Practice,March!B46,Physician_Visit_Hospitalists,'Physician Types'!$D$81)*INDEX(Physician_Type_Hospitalists_Visit_Minutes,MATCH(March!B46,Physician_Type_Practice,0))/INDEX(Physician_Type_Visit_Minutes,MATCH(March!B46,Physician_Type_Practice,0)) +SUMIF(Physician_Minutes_Practice,March!B46,Physician_Minutes_March)/INDEX(Physician_Type_Visit_Minutes,MATCH(March!B46,Physician_Type_Practice,0))</f>
        <v>0</v>
      </c>
      <c r="D46" s="43">
        <f t="shared" ref="D46:D77" si="5">C46*INDEX(Physician_Type_Visit_Minutes,MATCH(B46,Physician_Type_Practice,0))/INDEX(Physician_Type_FTE_Minutes,MATCH(B46,Physician_Type_Practice,0))</f>
        <v>0</v>
      </c>
      <c r="E46" s="17">
        <f>INDEX(Physician_Type_Bed_Rate,MATCH(March!B46,Physician_Type_Practice,0))*'Hospital Input Page'!$C$4</f>
        <v>925.08524394583173</v>
      </c>
      <c r="F46" s="9">
        <f>D46*E46</f>
        <v>0</v>
      </c>
      <c r="H46" s="5">
        <f t="array" ref="H46">SUMIFS(Physician_Visit_March, Physician_Visit_Practice, March!B46, Independent_Contractor_Visits,  'Physician Types'!$D$81) + SUMIFS(Physician_Minutes_March,Physician_Minutes_Practice,March!B46, Independent_Contractor_Minutes, 'Physician Types'!$D$81)/INDEX(Physician_Type_Visit_Minutes,MATCH(March!B46,Physician_Type_Practice,0))</f>
        <v>0</v>
      </c>
      <c r="I46" s="43">
        <f t="shared" ref="I46:I77" si="6">H46*INDEX(Physician_Type_Visit_Minutes,MATCH(B46,Physician_Type_Practice,0))/INDEX(Physician_Type_FTE_Minutes,MATCH(B46,Physician_Type_Practice,0))</f>
        <v>0</v>
      </c>
      <c r="J46" s="10">
        <f>E46*'Physician Types'!$E$4</f>
        <v>27.752557318374951</v>
      </c>
      <c r="K46" s="10">
        <f>I46*J46</f>
        <v>0</v>
      </c>
    </row>
    <row r="47" spans="1:11" x14ac:dyDescent="0.2">
      <c r="A47" s="158">
        <v>1</v>
      </c>
      <c r="B47" s="107" t="s">
        <v>29</v>
      </c>
      <c r="C47" s="5">
        <f>SUMIFS(Physician_Visit_March,Physician_Visit_Practice,March!B47,Physician_Visit_Hospitalists, "&lt;&gt;"&amp;'Physician Types'!$D$81)+SUMIFS(Physician_Visit_March,Physician_Visit_Practice,March!B47,Physician_Visit_Hospitalists,'Physician Types'!$D$81)*INDEX(Physician_Type_Hospitalists_Visit_Minutes,MATCH(March!B47,Physician_Type_Practice,0))/INDEX(Physician_Type_Visit_Minutes,MATCH(March!B47,Physician_Type_Practice,0)) +SUMIF(Physician_Minutes_Practice,March!B47,Physician_Minutes_March)/INDEX(Physician_Type_Visit_Minutes,MATCH(March!B47,Physician_Type_Practice,0))</f>
        <v>0</v>
      </c>
      <c r="D47" s="43">
        <f t="shared" si="5"/>
        <v>0</v>
      </c>
      <c r="E47" s="17">
        <f>INDEX(Physician_Type_Bed_Rate,MATCH(March!B47,Physician_Type_Practice,0))*'Hospital Input Page'!$C$4</f>
        <v>993.39322609373073</v>
      </c>
      <c r="F47" s="9">
        <f t="shared" ref="F47:F111" si="7">D47*E47</f>
        <v>0</v>
      </c>
      <c r="H47" s="5">
        <f t="array" ref="H47">SUMIFS(Physician_Visit_March, Physician_Visit_Practice, March!B47, Independent_Contractor_Visits,  'Physician Types'!$D$81) + SUMIFS(Physician_Minutes_March,Physician_Minutes_Practice,March!B47, Independent_Contractor_Minutes, 'Physician Types'!$D$81)/INDEX(Physician_Type_Visit_Minutes,MATCH(March!B47,Physician_Type_Practice,0))</f>
        <v>0</v>
      </c>
      <c r="I47" s="43">
        <f t="shared" si="6"/>
        <v>0</v>
      </c>
      <c r="J47" s="10">
        <f>E47*'Physician Types'!$E$4</f>
        <v>29.80179678281192</v>
      </c>
      <c r="K47" s="10">
        <f t="shared" ref="K47:K111" si="8">I47*J47</f>
        <v>0</v>
      </c>
    </row>
    <row r="48" spans="1:11" x14ac:dyDescent="0.2">
      <c r="A48" s="158">
        <v>4</v>
      </c>
      <c r="B48" s="102" t="s">
        <v>60</v>
      </c>
      <c r="C48" s="5">
        <f>SUMIFS(Physician_Visit_March,Physician_Visit_Practice,March!B48,Physician_Visit_Hospitalists, "&lt;&gt;"&amp;'Physician Types'!$D$81)+SUMIFS(Physician_Visit_March,Physician_Visit_Practice,March!B48,Physician_Visit_Hospitalists,'Physician Types'!$D$81)*INDEX(Physician_Type_Hospitalists_Visit_Minutes,MATCH(March!B48,Physician_Type_Practice,0))/INDEX(Physician_Type_Visit_Minutes,MATCH(March!B48,Physician_Type_Practice,0)) +SUMIF(Physician_Minutes_Practice,March!B48,Physician_Minutes_March)/INDEX(Physician_Type_Visit_Minutes,MATCH(March!B48,Physician_Type_Practice,0))</f>
        <v>0</v>
      </c>
      <c r="D48" s="43">
        <f t="shared" si="5"/>
        <v>0</v>
      </c>
      <c r="E48" s="17">
        <f>INDEX(Physician_Type_Bed_Rate,MATCH(March!B48,Physician_Type_Practice,0))*'Hospital Input Page'!$C$4</f>
        <v>2699.1411231584075</v>
      </c>
      <c r="F48" s="9">
        <f t="shared" si="7"/>
        <v>0</v>
      </c>
      <c r="H48" s="5">
        <f>SUMIFS(Physician_Visit_March,Physician_Visit_Practice,March!B48,Independent_Contractor_Visits, "&lt;&gt;"&amp;'Physician Types'!$D$81)+SUMIFS(Physician_Visit_March,Physician_Visit_Practice,March!B48,Independent_Contractor_Visits,'Physician Types'!$D$81)*INDEX(Physician_Type_Hospitalists_Visit_Minutes,MATCH(March!B48,Physician_Type_Practice,0))/INDEX(Physician_Type_Visit_Minutes,MATCH(March!B48,Physician_Type_Practice,0)) +SUMIF(Physician_Minutes_Practice,March!B48,Physician_Minutes_March)/INDEX(Physician_Type_Visit_Minutes,MATCH(March!B48,Physician_Type_Practice,0))</f>
        <v>0</v>
      </c>
      <c r="I48" s="43">
        <f t="shared" si="6"/>
        <v>0</v>
      </c>
      <c r="J48" s="10">
        <f>E48*'Physician Types'!$E$4</f>
        <v>80.974233694752215</v>
      </c>
      <c r="K48" s="10">
        <f t="shared" si="8"/>
        <v>0</v>
      </c>
    </row>
    <row r="49" spans="1:11" x14ac:dyDescent="0.2">
      <c r="A49" s="158">
        <v>4</v>
      </c>
      <c r="B49" s="102" t="s">
        <v>61</v>
      </c>
      <c r="C49" s="5">
        <f>SUMIFS(Physician_Visit_March,Physician_Visit_Practice,March!B49,Physician_Visit_Hospitalists, "&lt;&gt;"&amp;'Physician Types'!$D$81)+SUMIFS(Physician_Visit_March,Physician_Visit_Practice,March!B49,Physician_Visit_Hospitalists,'Physician Types'!$D$81)*INDEX(Physician_Type_Hospitalists_Visit_Minutes,MATCH(March!B49,Physician_Type_Practice,0))/INDEX(Physician_Type_Visit_Minutes,MATCH(March!B49,Physician_Type_Practice,0)) +SUMIF(Physician_Minutes_Practice,March!B49,Physician_Minutes_March)/INDEX(Physician_Type_Visit_Minutes,MATCH(March!B49,Physician_Type_Practice,0))</f>
        <v>0</v>
      </c>
      <c r="D49" s="43">
        <f t="shared" si="5"/>
        <v>0</v>
      </c>
      <c r="E49" s="17">
        <f>INDEX(Physician_Type_Bed_Rate,MATCH(March!B49,Physician_Type_Practice,0))*'Hospital Input Page'!$C$4</f>
        <v>3071.9075400226566</v>
      </c>
      <c r="F49" s="9">
        <f t="shared" si="7"/>
        <v>0</v>
      </c>
      <c r="H49" s="5">
        <f>SUMIFS(Physician_Visit_March,Physician_Visit_Practice,March!B49,Independent_Contractor_Visits, "&lt;&gt;"&amp;'Physician Types'!$D$81)+SUMIFS(Physician_Visit_March,Physician_Visit_Practice,March!B49,Independent_Contractor_Visits,'Physician Types'!$D$81)*INDEX(Physician_Type_Hospitalists_Visit_Minutes,MATCH(March!B49,Physician_Type_Practice,0))/INDEX(Physician_Type_Visit_Minutes,MATCH(March!B49,Physician_Type_Practice,0)) +SUMIF(Physician_Minutes_Practice,March!B49,Physician_Minutes_March)/INDEX(Physician_Type_Visit_Minutes,MATCH(March!B49,Physician_Type_Practice,0))</f>
        <v>0</v>
      </c>
      <c r="I49" s="43">
        <f t="shared" si="6"/>
        <v>0</v>
      </c>
      <c r="J49" s="10">
        <f>E49*'Physician Types'!$E$4</f>
        <v>92.157226200679688</v>
      </c>
      <c r="K49" s="10">
        <f t="shared" si="8"/>
        <v>0</v>
      </c>
    </row>
    <row r="50" spans="1:11" x14ac:dyDescent="0.2">
      <c r="A50" s="158">
        <v>2</v>
      </c>
      <c r="B50" s="107" t="s">
        <v>34</v>
      </c>
      <c r="C50" s="5">
        <f>SUMIFS(Physician_Visit_March,Physician_Visit_Practice,March!B50,Physician_Visit_Hospitalists, "&lt;&gt;"&amp;'Physician Types'!$D$81)+SUMIFS(Physician_Visit_March,Physician_Visit_Practice,March!B50,Physician_Visit_Hospitalists,'Physician Types'!$D$81)*INDEX(Physician_Type_Hospitalists_Visit_Minutes,MATCH(March!B50,Physician_Type_Practice,0))/INDEX(Physician_Type_Visit_Minutes,MATCH(March!B50,Physician_Type_Practice,0)) +SUMIF(Physician_Minutes_Practice,March!B50,Physician_Minutes_March)/INDEX(Physician_Type_Visit_Minutes,MATCH(March!B50,Physician_Type_Practice,0))</f>
        <v>0</v>
      </c>
      <c r="D50" s="43">
        <f t="shared" si="5"/>
        <v>0</v>
      </c>
      <c r="E50" s="17">
        <f>INDEX(Physician_Type_Bed_Rate,MATCH(March!B50,Physician_Type_Practice,0))*'Hospital Input Page'!$C$4</f>
        <v>1619.8750052216039</v>
      </c>
      <c r="F50" s="9">
        <f t="shared" si="7"/>
        <v>0</v>
      </c>
      <c r="H50" s="5">
        <f>SUMIFS(Physician_Visit_March,Physician_Visit_Practice,March!B50,Independent_Contractor_Visits, "&lt;&gt;"&amp;'Physician Types'!$D$81)+SUMIFS(Physician_Visit_March,Physician_Visit_Practice,March!B50,Independent_Contractor_Visits,'Physician Types'!$D$81)*INDEX(Physician_Type_Hospitalists_Visit_Minutes,MATCH(March!B50,Physician_Type_Practice,0))/INDEX(Physician_Type_Visit_Minutes,MATCH(March!B50,Physician_Type_Practice,0)) +SUMIF(Physician_Minutes_Practice,March!B50,Physician_Minutes_March)/INDEX(Physician_Type_Visit_Minutes,MATCH(March!B50,Physician_Type_Practice,0))</f>
        <v>0</v>
      </c>
      <c r="I50" s="43">
        <f t="shared" si="6"/>
        <v>0</v>
      </c>
      <c r="J50" s="10">
        <f>E50*'Physician Types'!$E$4</f>
        <v>48.596250156648118</v>
      </c>
      <c r="K50" s="10">
        <f t="shared" si="8"/>
        <v>0</v>
      </c>
    </row>
    <row r="51" spans="1:11" x14ac:dyDescent="0.2">
      <c r="A51" s="158">
        <v>7</v>
      </c>
      <c r="B51" s="102" t="s">
        <v>72</v>
      </c>
      <c r="C51" s="5">
        <f>SUMIFS(Physician_Visit_March,Physician_Visit_Practice,March!B51,Physician_Visit_Hospitalists, "&lt;&gt;"&amp;'Physician Types'!$D$81)+SUMIFS(Physician_Visit_March,Physician_Visit_Practice,March!B51,Physician_Visit_Hospitalists,'Physician Types'!$D$81)*INDEX(Physician_Type_Hospitalists_Visit_Minutes,MATCH(March!B51,Physician_Type_Practice,0))/INDEX(Physician_Type_Visit_Minutes,MATCH(March!B51,Physician_Type_Practice,0)) +SUMIF(Physician_Minutes_Practice,March!B51,Physician_Minutes_March)/INDEX(Physician_Type_Visit_Minutes,MATCH(March!B51,Physician_Type_Practice,0))</f>
        <v>0</v>
      </c>
      <c r="D51" s="43">
        <f t="shared" si="5"/>
        <v>0</v>
      </c>
      <c r="E51" s="17">
        <f>INDEX(Physician_Type_Bed_Rate,MATCH(March!B51,Physician_Type_Practice,0))*'Hospital Input Page'!$C$4</f>
        <v>7974.4690016090053</v>
      </c>
      <c r="F51" s="9">
        <f t="shared" si="7"/>
        <v>0</v>
      </c>
      <c r="H51" s="5">
        <f>SUMIFS(Physician_Visit_March,Physician_Visit_Practice,March!B51,Independent_Contractor_Visits, "&lt;&gt;"&amp;'Physician Types'!$D$81)+SUMIFS(Physician_Visit_March,Physician_Visit_Practice,March!B51,Independent_Contractor_Visits,'Physician Types'!$D$81)*INDEX(Physician_Type_Hospitalists_Visit_Minutes,MATCH(March!B51,Physician_Type_Practice,0))/INDEX(Physician_Type_Visit_Minutes,MATCH(March!B51,Physician_Type_Practice,0)) +SUMIF(Physician_Minutes_Practice,March!B51,Physician_Minutes_March)/INDEX(Physician_Type_Visit_Minutes,MATCH(March!B51,Physician_Type_Practice,0))</f>
        <v>0</v>
      </c>
      <c r="I51" s="43">
        <f t="shared" si="6"/>
        <v>0</v>
      </c>
      <c r="J51" s="10">
        <f>E51*'Physician Types'!$E$4</f>
        <v>239.23407004827015</v>
      </c>
      <c r="K51" s="10">
        <f t="shared" si="8"/>
        <v>0</v>
      </c>
    </row>
    <row r="52" spans="1:11" x14ac:dyDescent="0.2">
      <c r="A52" s="158">
        <v>6</v>
      </c>
      <c r="B52" s="102" t="s">
        <v>69</v>
      </c>
      <c r="C52" s="5">
        <f>SUMIFS(Physician_Visit_March,Physician_Visit_Practice,March!B52,Physician_Visit_Hospitalists, "&lt;&gt;"&amp;'Physician Types'!$D$81)+SUMIFS(Physician_Visit_March,Physician_Visit_Practice,March!B52,Physician_Visit_Hospitalists,'Physician Types'!$D$81)*INDEX(Physician_Type_Hospitalists_Visit_Minutes,MATCH(March!B52,Physician_Type_Practice,0))/INDEX(Physician_Type_Visit_Minutes,MATCH(March!B52,Physician_Type_Practice,0)) +SUMIF(Physician_Minutes_Practice,March!B52,Physician_Minutes_March)/INDEX(Physician_Type_Visit_Minutes,MATCH(March!B52,Physician_Type_Practice,0))</f>
        <v>0</v>
      </c>
      <c r="D52" s="43">
        <f t="shared" si="5"/>
        <v>0</v>
      </c>
      <c r="E52" s="17">
        <f>INDEX(Physician_Type_Bed_Rate,MATCH(March!B52,Physician_Type_Practice,0))*'Hospital Input Page'!$C$4</f>
        <v>3534.4501619955722</v>
      </c>
      <c r="F52" s="9">
        <f t="shared" si="7"/>
        <v>0</v>
      </c>
      <c r="H52" s="5">
        <f>SUMIFS(Physician_Visit_March,Physician_Visit_Practice,March!B52,Independent_Contractor_Visits, "&lt;&gt;"&amp;'Physician Types'!$D$81)+SUMIFS(Physician_Visit_March,Physician_Visit_Practice,March!B52,Independent_Contractor_Visits,'Physician Types'!$D$81)*INDEX(Physician_Type_Hospitalists_Visit_Minutes,MATCH(March!B52,Physician_Type_Practice,0))/INDEX(Physician_Type_Visit_Minutes,MATCH(March!B52,Physician_Type_Practice,0)) +SUMIF(Physician_Minutes_Practice,March!B52,Physician_Minutes_March)/INDEX(Physician_Type_Visit_Minutes,MATCH(March!B52,Physician_Type_Practice,0))</f>
        <v>0</v>
      </c>
      <c r="I52" s="43">
        <f t="shared" si="6"/>
        <v>0</v>
      </c>
      <c r="J52" s="10">
        <f>E52*'Physician Types'!$E$4</f>
        <v>106.03350485986716</v>
      </c>
      <c r="K52" s="10">
        <f t="shared" si="8"/>
        <v>0</v>
      </c>
    </row>
    <row r="53" spans="1:11" x14ac:dyDescent="0.2">
      <c r="A53" s="158">
        <v>2</v>
      </c>
      <c r="B53" s="107" t="s">
        <v>35</v>
      </c>
      <c r="C53" s="5">
        <f>SUMIFS(Physician_Visit_March,Physician_Visit_Practice,March!B53,Physician_Visit_Hospitalists, "&lt;&gt;"&amp;'Physician Types'!$D$81)+SUMIFS(Physician_Visit_March,Physician_Visit_Practice,March!B53,Physician_Visit_Hospitalists,'Physician Types'!$D$81)*INDEX(Physician_Type_Hospitalists_Visit_Minutes,MATCH(March!B53,Physician_Type_Practice,0))/INDEX(Physician_Type_Visit_Minutes,MATCH(March!B53,Physician_Type_Practice,0)) +SUMIF(Physician_Minutes_Practice,March!B53,Physician_Minutes_March)/INDEX(Physician_Type_Visit_Minutes,MATCH(March!B53,Physician_Type_Practice,0))</f>
        <v>0</v>
      </c>
      <c r="D53" s="43">
        <f t="shared" si="5"/>
        <v>0</v>
      </c>
      <c r="E53" s="17">
        <f>INDEX(Physician_Type_Bed_Rate,MATCH(March!B53,Physician_Type_Practice,0))*'Hospital Input Page'!$C$4</f>
        <v>993.39322609373073</v>
      </c>
      <c r="F53" s="9">
        <f t="shared" si="7"/>
        <v>0</v>
      </c>
      <c r="H53" s="5">
        <f>SUMIFS(Physician_Visit_March,Physician_Visit_Practice,March!B53,Independent_Contractor_Visits, "&lt;&gt;"&amp;'Physician Types'!$D$81)+SUMIFS(Physician_Visit_March,Physician_Visit_Practice,March!B53,Independent_Contractor_Visits,'Physician Types'!$D$81)*INDEX(Physician_Type_Hospitalists_Visit_Minutes,MATCH(March!B53,Physician_Type_Practice,0))/INDEX(Physician_Type_Visit_Minutes,MATCH(March!B53,Physician_Type_Practice,0)) +SUMIF(Physician_Minutes_Practice,March!B53,Physician_Minutes_March)/INDEX(Physician_Type_Visit_Minutes,MATCH(March!B53,Physician_Type_Practice,0))</f>
        <v>0</v>
      </c>
      <c r="I53" s="43">
        <f t="shared" si="6"/>
        <v>0</v>
      </c>
      <c r="J53" s="10">
        <f>E53*'Physician Types'!$E$4</f>
        <v>29.80179678281192</v>
      </c>
      <c r="K53" s="10">
        <f t="shared" si="8"/>
        <v>0</v>
      </c>
    </row>
    <row r="54" spans="1:11" x14ac:dyDescent="0.2">
      <c r="A54" s="158"/>
      <c r="B54" s="161" t="s">
        <v>136</v>
      </c>
      <c r="C54" s="5">
        <f>SUMIFS(Physician_Visit_March,Physician_Visit_Practice,March!B54,Physician_Visit_Hospitalists, "&lt;&gt;"&amp;'Physician Types'!$D$81)+SUMIFS(Physician_Visit_March,Physician_Visit_Practice,March!B54,Physician_Visit_Hospitalists,'Physician Types'!$D$81)*INDEX(Physician_Type_Hospitalists_Visit_Minutes,MATCH(March!B54,Physician_Type_Practice,0))/INDEX(Physician_Type_Visit_Minutes,MATCH(March!B54,Physician_Type_Practice,0)) +SUMIF(Physician_Minutes_Practice,March!B54,Physician_Minutes_March)/INDEX(Physician_Type_Visit_Minutes,MATCH(March!B54,Physician_Type_Practice,0))</f>
        <v>72</v>
      </c>
      <c r="D54" s="43">
        <f t="shared" si="5"/>
        <v>0.10384815092597934</v>
      </c>
      <c r="E54" s="17">
        <f>INDEX(Physician_Type_Bed_Rate,MATCH(March!B54,Physician_Type_Practice,0))*'Hospital Input Page'!$C$4</f>
        <v>1727.2161200254454</v>
      </c>
      <c r="F54" s="9">
        <f>C54*E54/100</f>
        <v>1243.5956064183206</v>
      </c>
      <c r="H54" s="5">
        <f t="array" ref="H54">SUMIFS(Physician_Visit_March, Physician_Visit_Practice, March!B54, Independent_Contractor_Visits, 'Physician Types'!$D$81)</f>
        <v>0</v>
      </c>
      <c r="I54" s="43">
        <f t="shared" si="6"/>
        <v>0</v>
      </c>
      <c r="J54" s="10">
        <f>E54*'Physician Types'!$E$4</f>
        <v>51.816483600763362</v>
      </c>
      <c r="K54" s="10">
        <f t="shared" si="8"/>
        <v>0</v>
      </c>
    </row>
    <row r="55" spans="1:11" x14ac:dyDescent="0.2">
      <c r="A55" s="158">
        <v>2</v>
      </c>
      <c r="B55" s="107" t="s">
        <v>36</v>
      </c>
      <c r="C55" s="5">
        <f>SUMIFS(Physician_Visit_March,Physician_Visit_Practice,March!B55,Physician_Visit_Hospitalists, "&lt;&gt;"&amp;'Physician Types'!$D$81)+SUMIFS(Physician_Visit_March,Physician_Visit_Practice,March!B55,Physician_Visit_Hospitalists,'Physician Types'!$D$81)*INDEX(Physician_Type_Hospitalists_Visit_Minutes,MATCH(March!B55,Physician_Type_Practice,0))/INDEX(Physician_Type_Visit_Minutes,MATCH(March!B55,Physician_Type_Practice,0)) +SUMIF(Physician_Minutes_Practice,March!B55,Physician_Minutes_March)/INDEX(Physician_Type_Visit_Minutes,MATCH(March!B55,Physician_Type_Practice,0))</f>
        <v>0</v>
      </c>
      <c r="D55" s="43">
        <f t="shared" si="5"/>
        <v>0</v>
      </c>
      <c r="E55" s="17">
        <f>INDEX(Physician_Type_Bed_Rate,MATCH(March!B55,Physician_Type_Practice,0))*'Hospital Input Page'!$C$4</f>
        <v>2544.9602491674359</v>
      </c>
      <c r="F55" s="9">
        <f t="shared" si="7"/>
        <v>0</v>
      </c>
      <c r="H55" s="5">
        <f>SUMIFS(Physician_Visit_March,Physician_Visit_Practice,March!B55,Independent_Contractor_Visits, "&lt;&gt;"&amp;'Physician Types'!$D$81)+SUMIFS(Physician_Visit_March,Physician_Visit_Practice,March!B55,Independent_Contractor_Visits,'Physician Types'!$D$81)*INDEX(Physician_Type_Hospitalists_Visit_Minutes,MATCH(March!B55,Physician_Type_Practice,0))/INDEX(Physician_Type_Visit_Minutes,MATCH(March!B55,Physician_Type_Practice,0)) +SUMIF(Physician_Minutes_Practice,March!B55,Physician_Minutes_March)/INDEX(Physician_Type_Visit_Minutes,MATCH(March!B55,Physician_Type_Practice,0))</f>
        <v>0</v>
      </c>
      <c r="I55" s="43">
        <f t="shared" si="6"/>
        <v>0</v>
      </c>
      <c r="J55" s="10">
        <f>E55*'Physician Types'!$E$4</f>
        <v>76.348807475023079</v>
      </c>
      <c r="K55" s="10">
        <f t="shared" si="8"/>
        <v>0</v>
      </c>
    </row>
    <row r="56" spans="1:11" x14ac:dyDescent="0.2">
      <c r="A56" s="158">
        <v>2</v>
      </c>
      <c r="B56" s="107" t="s">
        <v>37</v>
      </c>
      <c r="C56" s="5">
        <f>SUMIFS(Physician_Visit_March,Physician_Visit_Practice,March!B56,Physician_Visit_Hospitalists, "&lt;&gt;"&amp;'Physician Types'!$D$81)+SUMIFS(Physician_Visit_March,Physician_Visit_Practice,March!B56,Physician_Visit_Hospitalists,'Physician Types'!$D$81)*INDEX(Physician_Type_Hospitalists_Visit_Minutes,MATCH(March!B56,Physician_Type_Practice,0))/INDEX(Physician_Type_Visit_Minutes,MATCH(March!B56,Physician_Type_Practice,0)) +SUMIF(Physician_Minutes_Practice,March!B56,Physician_Minutes_March)/INDEX(Physician_Type_Visit_Minutes,MATCH(March!B56,Physician_Type_Practice,0))</f>
        <v>0</v>
      </c>
      <c r="D56" s="43">
        <f t="shared" si="5"/>
        <v>0</v>
      </c>
      <c r="E56" s="17">
        <f>INDEX(Physician_Type_Bed_Rate,MATCH(March!B56,Physician_Type_Practice,0))*'Hospital Input Page'!$C$4</f>
        <v>1567.1802761360821</v>
      </c>
      <c r="F56" s="9">
        <f t="shared" si="7"/>
        <v>0</v>
      </c>
      <c r="H56" s="5">
        <f t="array" ref="H56">SUMIFS(Physician_Visit_March, Physician_Visit_Practice, March!B56, Independent_Contractor_Visits,  'Physician Types'!$D$81) + SUMIFS(Physician_Minutes_March,Physician_Minutes_Practice,March!B56, Independent_Contractor_Minutes, 'Physician Types'!$D$81)/INDEX(Physician_Type_Visit_Minutes,MATCH(March!B56,Physician_Type_Practice,0))</f>
        <v>0</v>
      </c>
      <c r="I56" s="43">
        <f t="shared" si="6"/>
        <v>0</v>
      </c>
      <c r="J56" s="10">
        <f>E56*'Physician Types'!$E$4</f>
        <v>47.015408284082461</v>
      </c>
      <c r="K56" s="10">
        <f t="shared" si="8"/>
        <v>0</v>
      </c>
    </row>
    <row r="57" spans="1:11" x14ac:dyDescent="0.2">
      <c r="A57" s="158">
        <v>2</v>
      </c>
      <c r="B57" s="107" t="s">
        <v>38</v>
      </c>
      <c r="C57" s="5">
        <f>SUMIFS(Physician_Visit_March,Physician_Visit_Practice,March!B57,Physician_Visit_Hospitalists, "&lt;&gt;"&amp;'Physician Types'!$D$81)+SUMIFS(Physician_Visit_March,Physician_Visit_Practice,March!B57,Physician_Visit_Hospitalists,'Physician Types'!$D$81)*INDEX(Physician_Type_Hospitalists_Visit_Minutes,MATCH(March!B57,Physician_Type_Practice,0))/INDEX(Physician_Type_Visit_Minutes,MATCH(March!B57,Physician_Type_Practice,0)) +SUMIF(Physician_Minutes_Practice,March!B57,Physician_Minutes_March)/INDEX(Physician_Type_Visit_Minutes,MATCH(March!B57,Physician_Type_Practice,0))</f>
        <v>0</v>
      </c>
      <c r="D57" s="43">
        <f t="shared" si="5"/>
        <v>0</v>
      </c>
      <c r="E57" s="17">
        <f>INDEX(Physician_Type_Bed_Rate,MATCH(March!B57,Physician_Type_Practice,0))*'Hospital Input Page'!$C$4</f>
        <v>4399.0340503246935</v>
      </c>
      <c r="F57" s="9">
        <f t="shared" si="7"/>
        <v>0</v>
      </c>
      <c r="H57" s="5">
        <f t="array" ref="H57">SUMIFS(Physician_Visit_March, Physician_Visit_Practice, March!B57, Independent_Contractor_Visits,  'Physician Types'!$D$81) + SUMIFS(Physician_Minutes_March,Physician_Minutes_Practice,March!B57, Independent_Contractor_Minutes, 'Physician Types'!$D$81)/INDEX(Physician_Type_Visit_Minutes,MATCH(March!B57,Physician_Type_Practice,0))</f>
        <v>0</v>
      </c>
      <c r="I57" s="43">
        <f t="shared" si="6"/>
        <v>0</v>
      </c>
      <c r="J57" s="10">
        <f>E57*'Physician Types'!$E$4</f>
        <v>131.97102150974081</v>
      </c>
      <c r="K57" s="10">
        <f t="shared" si="8"/>
        <v>0</v>
      </c>
    </row>
    <row r="58" spans="1:11" x14ac:dyDescent="0.2">
      <c r="A58" s="158">
        <v>3</v>
      </c>
      <c r="B58" s="161" t="s">
        <v>155</v>
      </c>
      <c r="C58" s="5">
        <f>SUMIFS(Physician_Visit_March,Physician_Visit_Practice,March!B58,Physician_Visit_Hospitalists, "&lt;&gt;"&amp;'Physician Types'!$D$81)+SUMIFS(Physician_Visit_March,Physician_Visit_Practice,March!B58,Physician_Visit_Hospitalists,'Physician Types'!$D$81)*INDEX(Physician_Type_Hospitalists_Visit_Minutes,MATCH(March!B58,Physician_Type_Practice,0))/INDEX(Physician_Type_Visit_Minutes,MATCH(March!B58,Physician_Type_Practice,0)) +SUMIF(Physician_Minutes_Practice,March!B58,Physician_Minutes_March)/INDEX(Physician_Type_Visit_Minutes,MATCH(March!B58,Physician_Type_Practice,0))</f>
        <v>252</v>
      </c>
      <c r="D58" s="43">
        <f t="shared" si="5"/>
        <v>0.48462470432123689</v>
      </c>
      <c r="E58" s="17">
        <f>INDEX(Physician_Type_Bed_Rate,MATCH(March!B58,Physician_Type_Practice,0))*'Hospital Input Page'!$C$4</f>
        <v>1951.6566327971132</v>
      </c>
      <c r="F58" s="9">
        <f t="shared" si="7"/>
        <v>945.8210186058817</v>
      </c>
      <c r="H58" s="5">
        <f t="array" ref="H58">SUMIFS(Physician_Visit_March, Physician_Visit_Practice, March!B58, Independent_Contractor_Visits,  'Physician Types'!$D$81) + SUMIFS(Physician_Minutes_March,Physician_Minutes_Practice,March!B58, Independent_Contractor_Minutes, 'Physician Types'!$D$81)/INDEX(Physician_Type_Visit_Minutes,MATCH(March!B58,Physician_Type_Practice,0))</f>
        <v>0</v>
      </c>
      <c r="I58" s="43">
        <f t="shared" si="6"/>
        <v>0</v>
      </c>
      <c r="J58" s="10">
        <f>E58*'Physician Types'!$E$4</f>
        <v>58.549698983913395</v>
      </c>
      <c r="K58" s="10">
        <f t="shared" si="8"/>
        <v>0</v>
      </c>
    </row>
    <row r="59" spans="1:11" x14ac:dyDescent="0.2">
      <c r="A59" s="158">
        <v>5</v>
      </c>
      <c r="B59" s="161" t="s">
        <v>137</v>
      </c>
      <c r="C59" s="5">
        <f>SUMIFS(Physician_Visit_March,Physician_Visit_Practice,March!B59,Physician_Visit_Hospitalists, "&lt;&gt;"&amp;'Physician Types'!$D$81)+SUMIFS(Physician_Visit_March,Physician_Visit_Practice,March!B59,Physician_Visit_Hospitalists,'Physician Types'!$D$81)*INDEX(Physician_Type_Hospitalists_Visit_Minutes,MATCH(March!B59,Physician_Type_Practice,0))/INDEX(Physician_Type_Visit_Minutes,MATCH(March!B59,Physician_Type_Practice,0)) +SUMIF(Physician_Minutes_Practice,March!B59,Physician_Minutes_March)/INDEX(Physician_Type_Visit_Minutes,MATCH(March!B59,Physician_Type_Practice,0))</f>
        <v>0</v>
      </c>
      <c r="D59" s="43">
        <f t="shared" si="5"/>
        <v>0</v>
      </c>
      <c r="E59" s="17">
        <f>INDEX(Physician_Type_Bed_Rate,MATCH(March!B59,Physician_Type_Practice,0))*'Hospital Input Page'!$C$4</f>
        <v>4933.7879677111023</v>
      </c>
      <c r="F59" s="9">
        <f t="shared" si="7"/>
        <v>0</v>
      </c>
      <c r="H59" s="5">
        <f t="array" ref="H59">SUMIFS(Physician_Visit_March, Physician_Visit_Practice, March!B59, Independent_Contractor_Visits,  'Physician Types'!$D$81) + SUMIFS(Physician_Minutes_March,Physician_Minutes_Practice,March!B59, Independent_Contractor_Minutes, 'Physician Types'!$D$81)/INDEX(Physician_Type_Visit_Minutes,MATCH(March!B59,Physician_Type_Practice,0))</f>
        <v>0</v>
      </c>
      <c r="I59" s="43">
        <f t="shared" si="6"/>
        <v>0</v>
      </c>
      <c r="J59" s="10">
        <f>E59*'Physician Types'!$E$4</f>
        <v>148.01363903133307</v>
      </c>
      <c r="K59" s="10">
        <f t="shared" si="8"/>
        <v>0</v>
      </c>
    </row>
    <row r="60" spans="1:11" x14ac:dyDescent="0.2">
      <c r="A60" s="158">
        <v>6</v>
      </c>
      <c r="B60" s="102" t="s">
        <v>70</v>
      </c>
      <c r="C60" s="5">
        <f>SUMIFS(Physician_Visit_March,Physician_Visit_Practice,March!B60,Physician_Visit_Hospitalists, "&lt;&gt;"&amp;'Physician Types'!$D$81)+SUMIFS(Physician_Visit_March,Physician_Visit_Practice,March!B60,Physician_Visit_Hospitalists,'Physician Types'!$D$81)*INDEX(Physician_Type_Hospitalists_Visit_Minutes,MATCH(March!B60,Physician_Type_Practice,0))/INDEX(Physician_Type_Visit_Minutes,MATCH(March!B60,Physician_Type_Practice,0)) +SUMIF(Physician_Minutes_Practice,March!B60,Physician_Minutes_March)/INDEX(Physician_Type_Visit_Minutes,MATCH(March!B60,Physician_Type_Practice,0))</f>
        <v>0</v>
      </c>
      <c r="D60" s="43">
        <f t="shared" si="5"/>
        <v>0</v>
      </c>
      <c r="E60" s="17">
        <f>INDEX(Physician_Type_Bed_Rate,MATCH(March!B60,Physician_Type_Practice,0))*'Hospital Input Page'!$C$4</f>
        <v>5179.6967034435384</v>
      </c>
      <c r="F60" s="9">
        <f t="shared" si="7"/>
        <v>0</v>
      </c>
      <c r="H60" s="5">
        <f t="array" ref="H60">SUMIFS(Physician_Visit_March, Physician_Visit_Practice, March!B60, Independent_Contractor_Visits,  'Physician Types'!$D$81) + SUMIFS(Physician_Minutes_March,Physician_Minutes_Practice,March!B60, Independent_Contractor_Minutes, 'Physician Types'!$D$81)/INDEX(Physician_Type_Visit_Minutes,MATCH(March!B60,Physician_Type_Practice,0))</f>
        <v>0</v>
      </c>
      <c r="I60" s="43">
        <f t="shared" si="6"/>
        <v>0</v>
      </c>
      <c r="J60" s="10">
        <f>E60*'Physician Types'!$E$4</f>
        <v>155.39090110330613</v>
      </c>
      <c r="K60" s="10">
        <f t="shared" si="8"/>
        <v>0</v>
      </c>
    </row>
    <row r="61" spans="1:11" x14ac:dyDescent="0.2">
      <c r="A61" s="158">
        <v>2</v>
      </c>
      <c r="B61" s="107" t="s">
        <v>39</v>
      </c>
      <c r="C61" s="5">
        <f>SUMIFS(Physician_Visit_March,Physician_Visit_Practice,March!B61,Physician_Visit_Hospitalists, "&lt;&gt;"&amp;'Physician Types'!$D$81)+SUMIFS(Physician_Visit_March,Physician_Visit_Practice,March!B61,Physician_Visit_Hospitalists,'Physician Types'!$D$81)*INDEX(Physician_Type_Hospitalists_Visit_Minutes,MATCH(March!B61,Physician_Type_Practice,0))/INDEX(Physician_Type_Visit_Minutes,MATCH(March!B61,Physician_Type_Practice,0)) +SUMIF(Physician_Minutes_Practice,March!B61,Physician_Minutes_March)/INDEX(Physician_Type_Visit_Minutes,MATCH(March!B61,Physician_Type_Practice,0))</f>
        <v>0</v>
      </c>
      <c r="D61" s="43">
        <f t="shared" si="5"/>
        <v>0</v>
      </c>
      <c r="E61" s="17">
        <f>INDEX(Physician_Type_Bed_Rate,MATCH(March!B61,Physician_Type_Practice,0))*'Hospital Input Page'!$C$4</f>
        <v>2539.1052792690443</v>
      </c>
      <c r="F61" s="9">
        <f t="shared" si="7"/>
        <v>0</v>
      </c>
      <c r="H61" s="5">
        <f t="array" ref="H61">SUMIFS(Physician_Visit_March, Physician_Visit_Practice, March!B61, Independent_Contractor_Visits,  'Physician Types'!$D$81) + SUMIFS(Physician_Minutes_March,Physician_Minutes_Practice,March!B61, Independent_Contractor_Minutes, 'Physician Types'!$D$81)/INDEX(Physician_Type_Visit_Minutes,MATCH(March!B61,Physician_Type_Practice,0))</f>
        <v>0</v>
      </c>
      <c r="I61" s="43">
        <f t="shared" si="6"/>
        <v>0</v>
      </c>
      <c r="J61" s="10">
        <f>E61*'Physician Types'!$E$4</f>
        <v>76.173158378071321</v>
      </c>
      <c r="K61" s="10">
        <f t="shared" si="8"/>
        <v>0</v>
      </c>
    </row>
    <row r="62" spans="1:11" x14ac:dyDescent="0.2">
      <c r="A62" s="158">
        <v>2</v>
      </c>
      <c r="B62" s="107" t="s">
        <v>40</v>
      </c>
      <c r="C62" s="5">
        <f>SUMIFS(Physician_Visit_March,Physician_Visit_Practice,March!B62,Physician_Visit_Hospitalists, "&lt;&gt;"&amp;'Physician Types'!$D$81)+SUMIFS(Physician_Visit_March,Physician_Visit_Practice,March!B62,Physician_Visit_Hospitalists,'Physician Types'!$D$81)*INDEX(Physician_Type_Hospitalists_Visit_Minutes,MATCH(March!B62,Physician_Type_Practice,0))/INDEX(Physician_Type_Visit_Minutes,MATCH(March!B62,Physician_Type_Practice,0)) +SUMIF(Physician_Minutes_Practice,March!B62,Physician_Minutes_March)/INDEX(Physician_Type_Visit_Minutes,MATCH(March!B62,Physician_Type_Practice,0))</f>
        <v>0</v>
      </c>
      <c r="D62" s="43">
        <f t="shared" si="5"/>
        <v>0</v>
      </c>
      <c r="E62" s="17">
        <f>INDEX(Physician_Type_Bed_Rate,MATCH(March!B62,Physician_Type_Practice,0))*'Hospital Input Page'!$C$4</f>
        <v>1619.8750052216039</v>
      </c>
      <c r="F62" s="9">
        <f t="shared" si="7"/>
        <v>0</v>
      </c>
      <c r="H62" s="5">
        <f t="array" ref="H62">SUMIFS(Physician_Visit_March, Physician_Visit_Practice, March!B62, Independent_Contractor_Visits,  'Physician Types'!$D$81) + SUMIFS(Physician_Minutes_March,Physician_Minutes_Practice,March!B62, Independent_Contractor_Minutes, 'Physician Types'!$D$81)/INDEX(Physician_Type_Visit_Minutes,MATCH(March!B62,Physician_Type_Practice,0))</f>
        <v>0</v>
      </c>
      <c r="I62" s="43">
        <f t="shared" si="6"/>
        <v>0</v>
      </c>
      <c r="J62" s="10">
        <f>E62*'Physician Types'!$E$4</f>
        <v>48.596250156648118</v>
      </c>
      <c r="K62" s="10">
        <f t="shared" si="8"/>
        <v>0</v>
      </c>
    </row>
    <row r="63" spans="1:11" x14ac:dyDescent="0.2">
      <c r="A63" s="158">
        <v>2</v>
      </c>
      <c r="B63" s="107" t="s">
        <v>41</v>
      </c>
      <c r="C63" s="5">
        <f>SUMIFS(Physician_Visit_March,Physician_Visit_Practice,March!B63,Physician_Visit_Hospitalists, "&lt;&gt;"&amp;'Physician Types'!$D$81)+SUMIFS(Physician_Visit_March,Physician_Visit_Practice,March!B63,Physician_Visit_Hospitalists,'Physician Types'!$D$81)*INDEX(Physician_Type_Hospitalists_Visit_Minutes,MATCH(March!B63,Physician_Type_Practice,0))/INDEX(Physician_Type_Visit_Minutes,MATCH(March!B63,Physician_Type_Practice,0)) +SUMIF(Physician_Minutes_Practice,March!B63,Physician_Minutes_March)/INDEX(Physician_Type_Visit_Minutes,MATCH(March!B63,Physician_Type_Practice,0))</f>
        <v>0</v>
      </c>
      <c r="D63" s="43">
        <f t="shared" si="5"/>
        <v>0</v>
      </c>
      <c r="E63" s="17">
        <f>INDEX(Physician_Type_Bed_Rate,MATCH(March!B63,Physician_Type_Practice,0))*'Hospital Input Page'!$C$4</f>
        <v>4844.0117626024357</v>
      </c>
      <c r="F63" s="9">
        <f t="shared" si="7"/>
        <v>0</v>
      </c>
      <c r="H63" s="5">
        <f t="array" ref="H63">SUMIFS(Physician_Visit_March, Physician_Visit_Practice, March!B63, Independent_Contractor_Visits,  'Physician Types'!$D$81) + SUMIFS(Physician_Minutes_March,Physician_Minutes_Practice,March!B63, Independent_Contractor_Minutes, 'Physician Types'!$D$81)/INDEX(Physician_Type_Visit_Minutes,MATCH(March!B63,Physician_Type_Practice,0))</f>
        <v>0</v>
      </c>
      <c r="I63" s="43">
        <f t="shared" si="6"/>
        <v>0</v>
      </c>
      <c r="J63" s="10">
        <f>E63*'Physician Types'!$E$4</f>
        <v>145.32035287807307</v>
      </c>
      <c r="K63" s="10">
        <f t="shared" si="8"/>
        <v>0</v>
      </c>
    </row>
    <row r="64" spans="1:11" x14ac:dyDescent="0.2">
      <c r="A64" s="158">
        <v>6</v>
      </c>
      <c r="B64" s="128" t="s">
        <v>138</v>
      </c>
      <c r="C64" s="5">
        <f>SUMIFS(Physician_Visit_March,Physician_Visit_Practice,March!B64,Physician_Visit_Hospitalists, "&lt;&gt;"&amp;'Physician Types'!$D$81)+SUMIFS(Physician_Visit_March,Physician_Visit_Practice,March!B64,Physician_Visit_Hospitalists,'Physician Types'!$D$81)*INDEX(Physician_Type_Hospitalists_Visit_Minutes,MATCH(March!B64,Physician_Type_Practice,0))/INDEX(Physician_Type_Visit_Minutes,MATCH(March!B64,Physician_Type_Practice,0)) +SUMIF(Physician_Minutes_Practice,March!B64,Physician_Minutes_March)/INDEX(Physician_Type_Visit_Minutes,MATCH(March!B64,Physician_Type_Practice,0))</f>
        <v>0</v>
      </c>
      <c r="D64" s="43">
        <f t="shared" si="5"/>
        <v>0</v>
      </c>
      <c r="E64" s="17">
        <f>INDEX(Physician_Type_Bed_Rate,MATCH(March!B64,Physician_Type_Practice,0))*'Hospital Input Page'!$C$4</f>
        <v>5782.7586029778467</v>
      </c>
      <c r="F64" s="9">
        <f t="shared" si="7"/>
        <v>0</v>
      </c>
      <c r="H64" s="5">
        <f t="array" ref="H64">SUMIFS(Physician_Visit_March, Physician_Visit_Practice, March!B64, Independent_Contractor_Visits,  'Physician Types'!$D$81) + SUMIFS(Physician_Minutes_March,Physician_Minutes_Practice,March!B64, Independent_Contractor_Minutes, 'Physician Types'!$D$81)/INDEX(Physician_Type_Visit_Minutes,MATCH(March!B64,Physician_Type_Practice,0))</f>
        <v>0</v>
      </c>
      <c r="I64" s="43">
        <f t="shared" si="6"/>
        <v>0</v>
      </c>
      <c r="J64" s="10">
        <f>E64*'Physician Types'!$E$4</f>
        <v>173.48275808933539</v>
      </c>
      <c r="K64" s="10">
        <f t="shared" si="8"/>
        <v>0</v>
      </c>
    </row>
    <row r="65" spans="1:11" x14ac:dyDescent="0.2">
      <c r="A65" s="158">
        <v>2</v>
      </c>
      <c r="B65" s="107" t="s">
        <v>42</v>
      </c>
      <c r="C65" s="5">
        <f>SUMIFS(Physician_Visit_March,Physician_Visit_Practice,March!B65,Physician_Visit_Hospitalists, "&lt;&gt;"&amp;'Physician Types'!$D$81)+SUMIFS(Physician_Visit_March,Physician_Visit_Practice,March!B65,Physician_Visit_Hospitalists,'Physician Types'!$D$81)*INDEX(Physician_Type_Hospitalists_Visit_Minutes,MATCH(March!B65,Physician_Type_Practice,0))/INDEX(Physician_Type_Visit_Minutes,MATCH(March!B65,Physician_Type_Practice,0)) +SUMIF(Physician_Minutes_Practice,March!B65,Physician_Minutes_March)/INDEX(Physician_Type_Visit_Minutes,MATCH(March!B65,Physician_Type_Practice,0))</f>
        <v>0</v>
      </c>
      <c r="D65" s="43">
        <f t="shared" si="5"/>
        <v>0</v>
      </c>
      <c r="E65" s="17">
        <f>INDEX(Physician_Type_Bed_Rate,MATCH(March!B65,Physician_Type_Practice,0))*'Hospital Input Page'!$C$4</f>
        <v>1487.1623541914003</v>
      </c>
      <c r="F65" s="9">
        <f t="shared" si="7"/>
        <v>0</v>
      </c>
      <c r="H65" s="5">
        <f t="array" ref="H65">SUMIFS(Physician_Visit_March, Physician_Visit_Practice, March!B65, Independent_Contractor_Visits,  'Physician Types'!$D$81) + SUMIFS(Physician_Minutes_March,Physician_Minutes_Practice,March!B65, Independent_Contractor_Minutes, 'Physician Types'!$D$81)/INDEX(Physician_Type_Visit_Minutes,MATCH(March!B65,Physician_Type_Practice,0))</f>
        <v>0</v>
      </c>
      <c r="I65" s="43">
        <f t="shared" si="6"/>
        <v>0</v>
      </c>
      <c r="J65" s="10">
        <f>E65*'Physician Types'!$E$4</f>
        <v>44.614870625742007</v>
      </c>
      <c r="K65" s="10">
        <f t="shared" si="8"/>
        <v>0</v>
      </c>
    </row>
    <row r="66" spans="1:11" x14ac:dyDescent="0.2">
      <c r="A66" s="158">
        <v>5</v>
      </c>
      <c r="B66" s="102" t="s">
        <v>64</v>
      </c>
      <c r="C66" s="5">
        <f>SUMIFS(Physician_Visit_March,Physician_Visit_Practice,March!B66,Physician_Visit_Hospitalists, "&lt;&gt;"&amp;'Physician Types'!$D$81)+SUMIFS(Physician_Visit_March,Physician_Visit_Practice,March!B66,Physician_Visit_Hospitalists,'Physician Types'!$D$81)*INDEX(Physician_Type_Hospitalists_Visit_Minutes,MATCH(March!B66,Physician_Type_Practice,0))/INDEX(Physician_Type_Visit_Minutes,MATCH(March!B66,Physician_Type_Practice,0)) +SUMIF(Physician_Minutes_Practice,March!B66,Physician_Minutes_March)/INDEX(Physician_Type_Visit_Minutes,MATCH(March!B66,Physician_Type_Practice,0))</f>
        <v>0</v>
      </c>
      <c r="D66" s="43">
        <f t="shared" si="5"/>
        <v>0</v>
      </c>
      <c r="E66" s="17">
        <f>INDEX(Physician_Type_Bed_Rate,MATCH(March!B66,Physician_Type_Practice,0))*'Hospital Input Page'!$C$4</f>
        <v>2406.3926282388406</v>
      </c>
      <c r="F66" s="9">
        <f t="shared" si="7"/>
        <v>0</v>
      </c>
      <c r="H66" s="5">
        <f t="array" ref="H66">SUMIFS(Physician_Visit_March, Physician_Visit_Practice, March!B66, Independent_Contractor_Visits,  'Physician Types'!$D$81) + SUMIFS(Physician_Minutes_March,Physician_Minutes_Practice,March!B66, Independent_Contractor_Minutes, 'Physician Types'!$D$81)/INDEX(Physician_Type_Visit_Minutes,MATCH(March!B66,Physician_Type_Practice,0))</f>
        <v>0</v>
      </c>
      <c r="I66" s="43">
        <f t="shared" si="6"/>
        <v>0</v>
      </c>
      <c r="J66" s="10">
        <f>E66*'Physician Types'!$E$4</f>
        <v>72.19177884716521</v>
      </c>
      <c r="K66" s="10">
        <f t="shared" si="8"/>
        <v>0</v>
      </c>
    </row>
    <row r="67" spans="1:11" x14ac:dyDescent="0.2">
      <c r="A67" s="158">
        <v>5</v>
      </c>
      <c r="B67" s="102" t="s">
        <v>65</v>
      </c>
      <c r="C67" s="5">
        <f>SUMIFS(Physician_Visit_March,Physician_Visit_Practice,March!B67,Physician_Visit_Hospitalists, "&lt;&gt;"&amp;'Physician Types'!$D$81)+SUMIFS(Physician_Visit_March,Physician_Visit_Practice,March!B67,Physician_Visit_Hospitalists,'Physician Types'!$D$81)*INDEX(Physician_Type_Hospitalists_Visit_Minutes,MATCH(March!B67,Physician_Type_Practice,0))/INDEX(Physician_Type_Visit_Minutes,MATCH(March!B67,Physician_Type_Practice,0)) +SUMIF(Physician_Minutes_Practice,March!B67,Physician_Minutes_March)/INDEX(Physician_Type_Visit_Minutes,MATCH(March!B67,Physician_Type_Practice,0))</f>
        <v>0</v>
      </c>
      <c r="D67" s="43">
        <f t="shared" si="5"/>
        <v>0</v>
      </c>
      <c r="E67" s="17">
        <f>INDEX(Physician_Type_Bed_Rate,MATCH(March!B67,Physician_Type_Practice,0))*'Hospital Input Page'!$C$4</f>
        <v>1487.1623541914003</v>
      </c>
      <c r="F67" s="9">
        <f t="shared" si="7"/>
        <v>0</v>
      </c>
      <c r="H67" s="5">
        <f t="array" ref="H67">SUMIFS(Physician_Visit_March, Physician_Visit_Practice, March!B67, Independent_Contractor_Visits,  'Physician Types'!$D$81) + SUMIFS(Physician_Minutes_March,Physician_Minutes_Practice,March!B67, Independent_Contractor_Minutes, 'Physician Types'!$D$81)/INDEX(Physician_Type_Visit_Minutes,MATCH(March!B67,Physician_Type_Practice,0))</f>
        <v>0</v>
      </c>
      <c r="I67" s="43">
        <f t="shared" si="6"/>
        <v>0</v>
      </c>
      <c r="J67" s="10">
        <f>E67*'Physician Types'!$E$4</f>
        <v>44.614870625742007</v>
      </c>
      <c r="K67" s="10">
        <f t="shared" si="8"/>
        <v>0</v>
      </c>
    </row>
    <row r="68" spans="1:11" x14ac:dyDescent="0.2">
      <c r="A68" s="158">
        <v>5</v>
      </c>
      <c r="B68" s="102" t="s">
        <v>66</v>
      </c>
      <c r="C68" s="5">
        <f>SUMIFS(Physician_Visit_March,Physician_Visit_Practice,March!B68,Physician_Visit_Hospitalists, "&lt;&gt;"&amp;'Physician Types'!$D$81)+SUMIFS(Physician_Visit_March,Physician_Visit_Practice,March!B68,Physician_Visit_Hospitalists,'Physician Types'!$D$81)*INDEX(Physician_Type_Hospitalists_Visit_Minutes,MATCH(March!B68,Physician_Type_Practice,0))/INDEX(Physician_Type_Visit_Minutes,MATCH(March!B68,Physician_Type_Practice,0)) +SUMIF(Physician_Minutes_Practice,March!B68,Physician_Minutes_March)/INDEX(Physician_Type_Visit_Minutes,MATCH(March!B68,Physician_Type_Practice,0))</f>
        <v>0</v>
      </c>
      <c r="D68" s="43">
        <f t="shared" si="5"/>
        <v>0</v>
      </c>
      <c r="E68" s="17">
        <f>INDEX(Physician_Type_Bed_Rate,MATCH(March!B68,Physician_Type_Practice,0))*'Hospital Input Page'!$C$4</f>
        <v>4644.9427860571295</v>
      </c>
      <c r="F68" s="9">
        <f t="shared" si="7"/>
        <v>0</v>
      </c>
      <c r="H68" s="5">
        <f t="array" ref="H68">SUMIFS(Physician_Visit_March, Physician_Visit_Practice, March!B68, Independent_Contractor_Visits,  'Physician Types'!$D$81) + SUMIFS(Physician_Minutes_March,Physician_Minutes_Practice,March!B68, Independent_Contractor_Minutes, 'Physician Types'!$D$81)/INDEX(Physician_Type_Visit_Minutes,MATCH(March!B68,Physician_Type_Practice,0))</f>
        <v>0</v>
      </c>
      <c r="I68" s="43">
        <f t="shared" si="6"/>
        <v>0</v>
      </c>
      <c r="J68" s="10">
        <f>E68*'Physician Types'!$E$4</f>
        <v>139.34828358171387</v>
      </c>
      <c r="K68" s="10">
        <f t="shared" si="8"/>
        <v>0</v>
      </c>
    </row>
    <row r="69" spans="1:11" x14ac:dyDescent="0.2">
      <c r="A69" s="158">
        <v>2</v>
      </c>
      <c r="B69" s="107" t="s">
        <v>43</v>
      </c>
      <c r="C69" s="5">
        <f>SUMIFS(Physician_Visit_March,Physician_Visit_Practice,March!B69,Physician_Visit_Hospitalists, "&lt;&gt;"&amp;'Physician Types'!$D$81)+SUMIFS(Physician_Visit_March,Physician_Visit_Practice,March!B69,Physician_Visit_Hospitalists,'Physician Types'!$D$81)*INDEX(Physician_Type_Hospitalists_Visit_Minutes,MATCH(March!B69,Physician_Type_Practice,0))/INDEX(Physician_Type_Visit_Minutes,MATCH(March!B69,Physician_Type_Practice,0)) +SUMIF(Physician_Minutes_Practice,March!B69,Physician_Minutes_March)/INDEX(Physician_Type_Visit_Minutes,MATCH(March!B69,Physician_Type_Practice,0))</f>
        <v>0</v>
      </c>
      <c r="D69" s="43">
        <f t="shared" si="5"/>
        <v>0</v>
      </c>
      <c r="E69" s="17">
        <f>INDEX(Physician_Type_Bed_Rate,MATCH(March!B69,Physician_Type_Practice,0))*'Hospital Input Page'!$C$4</f>
        <v>2539.1052792690443</v>
      </c>
      <c r="F69" s="9">
        <f t="shared" si="7"/>
        <v>0</v>
      </c>
      <c r="H69" s="5">
        <f t="array" ref="H69">SUMIFS(Physician_Visit_March, Physician_Visit_Practice, March!B69, Independent_Contractor_Visits,  'Physician Types'!$D$81) + SUMIFS(Physician_Minutes_March,Physician_Minutes_Practice,March!B69, Independent_Contractor_Minutes, 'Physician Types'!$D$81)/INDEX(Physician_Type_Visit_Minutes,MATCH(March!B69,Physician_Type_Practice,0))</f>
        <v>0</v>
      </c>
      <c r="I69" s="43">
        <f t="shared" si="6"/>
        <v>0</v>
      </c>
      <c r="J69" s="10">
        <f>E69*'Physician Types'!$E$4</f>
        <v>76.173158378071321</v>
      </c>
      <c r="K69" s="10">
        <f t="shared" si="8"/>
        <v>0</v>
      </c>
    </row>
    <row r="70" spans="1:11" x14ac:dyDescent="0.2">
      <c r="A70" s="158">
        <v>2</v>
      </c>
      <c r="B70" s="107" t="s">
        <v>44</v>
      </c>
      <c r="C70" s="5">
        <f>SUMIFS(Physician_Visit_March,Physician_Visit_Practice,March!B70,Physician_Visit_Hospitalists, "&lt;&gt;"&amp;'Physician Types'!$D$81)+SUMIFS(Physician_Visit_March,Physician_Visit_Practice,March!B70,Physician_Visit_Hospitalists,'Physician Types'!$D$81)*INDEX(Physician_Type_Hospitalists_Visit_Minutes,MATCH(March!B70,Physician_Type_Practice,0))/INDEX(Physician_Type_Visit_Minutes,MATCH(March!B70,Physician_Type_Practice,0)) +SUMIF(Physician_Minutes_Practice,March!B70,Physician_Minutes_March)/INDEX(Physician_Type_Visit_Minutes,MATCH(March!B70,Physician_Type_Practice,0))</f>
        <v>0</v>
      </c>
      <c r="D70" s="43">
        <f t="shared" si="5"/>
        <v>0</v>
      </c>
      <c r="E70" s="17">
        <f>INDEX(Physician_Type_Bed_Rate,MATCH(March!B70,Physician_Type_Practice,0))*'Hospital Input Page'!$C$4</f>
        <v>1619.8750052216039</v>
      </c>
      <c r="F70" s="9">
        <f t="shared" si="7"/>
        <v>0</v>
      </c>
      <c r="H70" s="5">
        <f t="array" ref="H70">SUMIFS(Physician_Visit_March, Physician_Visit_Practice, March!B70, Independent_Contractor_Visits,  'Physician Types'!$D$81) + SUMIFS(Physician_Minutes_March,Physician_Minutes_Practice,March!B70, Independent_Contractor_Minutes, 'Physician Types'!$D$81)/INDEX(Physician_Type_Visit_Minutes,MATCH(March!B70,Physician_Type_Practice,0))</f>
        <v>0</v>
      </c>
      <c r="I70" s="43">
        <f t="shared" si="6"/>
        <v>0</v>
      </c>
      <c r="J70" s="10">
        <f>E70*'Physician Types'!$E$4</f>
        <v>48.596250156648118</v>
      </c>
      <c r="K70" s="10">
        <f t="shared" si="8"/>
        <v>0</v>
      </c>
    </row>
    <row r="71" spans="1:11" x14ac:dyDescent="0.2">
      <c r="A71" s="158">
        <v>2</v>
      </c>
      <c r="B71" s="161" t="s">
        <v>154</v>
      </c>
      <c r="C71" s="5">
        <f>SUMIFS(Physician_Visit_March,Physician_Visit_Practice,March!B71,Physician_Visit_Hospitalists, "&lt;&gt;"&amp;'Physician Types'!$D$81)+SUMIFS(Physician_Visit_March,Physician_Visit_Practice,March!B71,Physician_Visit_Hospitalists,'Physician Types'!$D$81)*INDEX(Physician_Type_Hospitalists_Visit_Minutes,MATCH(March!B71,Physician_Type_Practice,0))/INDEX(Physician_Type_Visit_Minutes,MATCH(March!B71,Physician_Type_Practice,0)) +SUMIF(Physician_Minutes_Practice,March!B71,Physician_Minutes_March)/INDEX(Physician_Type_Visit_Minutes,MATCH(March!B71,Physician_Type_Practice,0))</f>
        <v>0</v>
      </c>
      <c r="D71" s="43">
        <f t="shared" si="5"/>
        <v>0</v>
      </c>
      <c r="E71" s="17">
        <f>INDEX(Physician_Type_Bed_Rate,MATCH(March!B71,Physician_Type_Practice,0))*'Hospital Input Page'!$C$4</f>
        <v>1951.6566327971132</v>
      </c>
      <c r="F71" s="9">
        <f t="shared" si="7"/>
        <v>0</v>
      </c>
      <c r="H71" s="5">
        <f t="array" ref="H71">SUMIFS(Physician_Visit_March, Physician_Visit_Practice, March!B71, Independent_Contractor_Visits,  'Physician Types'!$D$81) + SUMIFS(Physician_Minutes_March,Physician_Minutes_Practice,March!B71, Independent_Contractor_Minutes, 'Physician Types'!$D$81)/INDEX(Physician_Type_Visit_Minutes,MATCH(March!B71,Physician_Type_Practice,0))</f>
        <v>0</v>
      </c>
      <c r="I71" s="43">
        <f t="shared" si="6"/>
        <v>0</v>
      </c>
      <c r="J71" s="10">
        <f>E71*'Physician Types'!$E$4</f>
        <v>58.549698983913395</v>
      </c>
      <c r="K71" s="10">
        <f t="shared" si="8"/>
        <v>0</v>
      </c>
    </row>
    <row r="72" spans="1:11" x14ac:dyDescent="0.2">
      <c r="A72" s="158">
        <v>4</v>
      </c>
      <c r="B72" s="102" t="s">
        <v>62</v>
      </c>
      <c r="C72" s="5">
        <f>SUMIFS(Physician_Visit_March,Physician_Visit_Practice,March!B72,Physician_Visit_Hospitalists, "&lt;&gt;"&amp;'Physician Types'!$D$81)+SUMIFS(Physician_Visit_March,Physician_Visit_Practice,March!B72,Physician_Visit_Hospitalists,'Physician Types'!$D$81)*INDEX(Physician_Type_Hospitalists_Visit_Minutes,MATCH(March!B72,Physician_Type_Practice,0))/INDEX(Physician_Type_Visit_Minutes,MATCH(March!B72,Physician_Type_Practice,0)) +SUMIF(Physician_Minutes_Practice,March!B72,Physician_Minutes_March)/INDEX(Physician_Type_Visit_Minutes,MATCH(March!B72,Physician_Type_Practice,0))</f>
        <v>0</v>
      </c>
      <c r="D72" s="43">
        <f t="shared" si="5"/>
        <v>0</v>
      </c>
      <c r="E72" s="17">
        <f>INDEX(Physician_Type_Bed_Rate,MATCH(March!B72,Physician_Type_Practice,0))*'Hospital Input Page'!$C$4</f>
        <v>2529.3469961050587</v>
      </c>
      <c r="F72" s="9">
        <f t="shared" si="7"/>
        <v>0</v>
      </c>
      <c r="H72" s="5">
        <f t="array" ref="H72">SUMIFS(Physician_Visit_March, Physician_Visit_Practice, March!B72, Independent_Contractor_Visits,  'Physician Types'!$D$81) + SUMIFS(Physician_Minutes_March,Physician_Minutes_Practice,March!B72, Independent_Contractor_Minutes, 'Physician Types'!$D$81)/INDEX(Physician_Type_Visit_Minutes,MATCH(March!B72,Physician_Type_Practice,0))</f>
        <v>0</v>
      </c>
      <c r="I72" s="43">
        <f t="shared" si="6"/>
        <v>0</v>
      </c>
      <c r="J72" s="10">
        <f>E72*'Physician Types'!$E$4</f>
        <v>75.880409883151756</v>
      </c>
      <c r="K72" s="10">
        <f t="shared" si="8"/>
        <v>0</v>
      </c>
    </row>
    <row r="73" spans="1:11" x14ac:dyDescent="0.2">
      <c r="A73" s="158">
        <v>2</v>
      </c>
      <c r="B73" s="107" t="s">
        <v>45</v>
      </c>
      <c r="C73" s="5">
        <f>SUMIFS(Physician_Visit_March,Physician_Visit_Practice,March!B73,Physician_Visit_Hospitalists, "&lt;&gt;"&amp;'Physician Types'!$D$81)+SUMIFS(Physician_Visit_March,Physician_Visit_Practice,March!B73,Physician_Visit_Hospitalists,'Physician Types'!$D$81)*INDEX(Physician_Type_Hospitalists_Visit_Minutes,MATCH(March!B73,Physician_Type_Practice,0))/INDEX(Physician_Type_Visit_Minutes,MATCH(March!B73,Physician_Type_Practice,0)) +SUMIF(Physician_Minutes_Practice,March!B73,Physician_Minutes_March)/INDEX(Physician_Type_Visit_Minutes,MATCH(March!B73,Physician_Type_Practice,0))</f>
        <v>0</v>
      </c>
      <c r="D73" s="43">
        <f t="shared" si="5"/>
        <v>0</v>
      </c>
      <c r="E73" s="17">
        <f>INDEX(Physician_Type_Bed_Rate,MATCH(March!B73,Physician_Type_Practice,0))*'Hospital Input Page'!$C$4</f>
        <v>4844.0117626024357</v>
      </c>
      <c r="F73" s="9">
        <f t="shared" si="7"/>
        <v>0</v>
      </c>
      <c r="H73" s="5">
        <f t="array" ref="H73">SUMIFS(Physician_Visit_March, Physician_Visit_Practice, March!B73, Independent_Contractor_Visits,  'Physician Types'!$D$81) + SUMIFS(Physician_Minutes_March,Physician_Minutes_Practice,March!B73, Independent_Contractor_Minutes, 'Physician Types'!$D$81)/INDEX(Physician_Type_Visit_Minutes,MATCH(March!B73,Physician_Type_Practice,0))</f>
        <v>0</v>
      </c>
      <c r="I73" s="43">
        <f t="shared" si="6"/>
        <v>0</v>
      </c>
      <c r="J73" s="10">
        <f>E73*'Physician Types'!$E$4</f>
        <v>145.32035287807307</v>
      </c>
      <c r="K73" s="10">
        <f t="shared" si="8"/>
        <v>0</v>
      </c>
    </row>
    <row r="74" spans="1:11" x14ac:dyDescent="0.2">
      <c r="A74" s="158">
        <v>4</v>
      </c>
      <c r="B74" s="107" t="s">
        <v>63</v>
      </c>
      <c r="C74" s="5">
        <f>SUMIFS(Physician_Visit_March,Physician_Visit_Practice,March!B74,Physician_Visit_Hospitalists, "&lt;&gt;"&amp;'Physician Types'!$D$81)+SUMIFS(Physician_Visit_March,Physician_Visit_Practice,March!B74,Physician_Visit_Hospitalists,'Physician Types'!$D$81)*INDEX(Physician_Type_Hospitalists_Visit_Minutes,MATCH(March!B74,Physician_Type_Practice,0))/INDEX(Physician_Type_Visit_Minutes,MATCH(March!B74,Physician_Type_Practice,0)) +SUMIF(Physician_Minutes_Practice,March!B74,Physician_Minutes_March)/INDEX(Physician_Type_Visit_Minutes,MATCH(March!B74,Physician_Type_Practice,0))</f>
        <v>0</v>
      </c>
      <c r="D74" s="43">
        <f t="shared" si="5"/>
        <v>0</v>
      </c>
      <c r="E74" s="17">
        <f>INDEX(Physician_Type_Bed_Rate,MATCH(March!B74,Physician_Type_Practice,0))*'Hospital Input Page'!$C$4</f>
        <v>2539.1052792690443</v>
      </c>
      <c r="F74" s="9">
        <f t="shared" si="7"/>
        <v>0</v>
      </c>
      <c r="H74" s="5">
        <f t="array" ref="H74">SUMIFS(Physician_Visit_March, Physician_Visit_Practice, March!B74, Independent_Contractor_Visits,  'Physician Types'!$D$81) + SUMIFS(Physician_Minutes_March,Physician_Minutes_Practice,March!B74, Independent_Contractor_Minutes, 'Physician Types'!$D$81)/INDEX(Physician_Type_Visit_Minutes,MATCH(March!B74,Physician_Type_Practice,0))</f>
        <v>0</v>
      </c>
      <c r="I74" s="43">
        <f t="shared" si="6"/>
        <v>0</v>
      </c>
      <c r="J74" s="10">
        <f>E74*'Physician Types'!$E$4</f>
        <v>76.173158378071321</v>
      </c>
      <c r="K74" s="10">
        <f t="shared" si="8"/>
        <v>0</v>
      </c>
    </row>
    <row r="75" spans="1:11" x14ac:dyDescent="0.2">
      <c r="A75" s="158">
        <v>2</v>
      </c>
      <c r="B75" s="107" t="s">
        <v>46</v>
      </c>
      <c r="C75" s="5">
        <f>SUMIFS(Physician_Visit_March,Physician_Visit_Practice,March!B75,Physician_Visit_Hospitalists, "&lt;&gt;"&amp;'Physician Types'!$D$81)+SUMIFS(Physician_Visit_March,Physician_Visit_Practice,March!B75,Physician_Visit_Hospitalists,'Physician Types'!$D$81)*INDEX(Physician_Type_Hospitalists_Visit_Minutes,MATCH(March!B75,Physician_Type_Practice,0))/INDEX(Physician_Type_Visit_Minutes,MATCH(March!B75,Physician_Type_Practice,0)) +SUMIF(Physician_Minutes_Practice,March!B75,Physician_Minutes_March)/INDEX(Physician_Type_Visit_Minutes,MATCH(March!B75,Physician_Type_Practice,0))</f>
        <v>0</v>
      </c>
      <c r="D75" s="43">
        <f t="shared" si="5"/>
        <v>0</v>
      </c>
      <c r="E75" s="17">
        <f>INDEX(Physician_Type_Bed_Rate,MATCH(March!B75,Physician_Type_Practice,0))*'Hospital Input Page'!$C$4</f>
        <v>1619.8750052216039</v>
      </c>
      <c r="F75" s="9">
        <f t="shared" si="7"/>
        <v>0</v>
      </c>
      <c r="H75" s="5">
        <f t="array" ref="H75">SUMIFS(Physician_Visit_March, Physician_Visit_Practice, March!B75, Independent_Contractor_Visits,  'Physician Types'!$D$81) + SUMIFS(Physician_Minutes_March,Physician_Minutes_Practice,March!B75, Independent_Contractor_Minutes, 'Physician Types'!$D$81)/INDEX(Physician_Type_Visit_Minutes,MATCH(March!B75,Physician_Type_Practice,0))</f>
        <v>0</v>
      </c>
      <c r="I75" s="43">
        <f t="shared" si="6"/>
        <v>0</v>
      </c>
      <c r="J75" s="10">
        <f>E75*'Physician Types'!$E$4</f>
        <v>48.596250156648118</v>
      </c>
      <c r="K75" s="10">
        <f t="shared" si="8"/>
        <v>0</v>
      </c>
    </row>
    <row r="76" spans="1:11" x14ac:dyDescent="0.2">
      <c r="A76" s="158">
        <v>3</v>
      </c>
      <c r="B76" s="102" t="s">
        <v>54</v>
      </c>
      <c r="C76" s="5">
        <f>SUMIFS(Physician_Visit_March,Physician_Visit_Practice,March!B76,Physician_Visit_Hospitalists, "&lt;&gt;"&amp;'Physician Types'!$D$81)+SUMIFS(Physician_Visit_March,Physician_Visit_Practice,March!B76,Physician_Visit_Hospitalists,'Physician Types'!$D$81)*INDEX(Physician_Type_Hospitalists_Visit_Minutes,MATCH(March!B76,Physician_Type_Practice,0))/INDEX(Physician_Type_Visit_Minutes,MATCH(March!B76,Physician_Type_Practice,0)) +SUMIF(Physician_Minutes_Practice,March!B76,Physician_Minutes_March)/INDEX(Physician_Type_Visit_Minutes,MATCH(March!B76,Physician_Type_Practice,0))</f>
        <v>0</v>
      </c>
      <c r="D76" s="43">
        <f t="shared" si="5"/>
        <v>0</v>
      </c>
      <c r="E76" s="17">
        <f>INDEX(Physician_Type_Bed_Rate,MATCH(March!B76,Physician_Type_Practice,0))*'Hospital Input Page'!$C$4</f>
        <v>2699.1411231584075</v>
      </c>
      <c r="F76" s="9">
        <f t="shared" si="7"/>
        <v>0</v>
      </c>
      <c r="H76" s="5">
        <f t="array" ref="H76">SUMIFS(Physician_Visit_March, Physician_Visit_Practice, March!B76, Independent_Contractor_Visits,  'Physician Types'!$D$81) + SUMIFS(Physician_Minutes_March,Physician_Minutes_Practice,March!B76, Independent_Contractor_Minutes, 'Physician Types'!$D$81)/INDEX(Physician_Type_Visit_Minutes,MATCH(March!B76,Physician_Type_Practice,0))</f>
        <v>0</v>
      </c>
      <c r="I76" s="43">
        <f t="shared" si="6"/>
        <v>0</v>
      </c>
      <c r="J76" s="10">
        <f>E76*'Physician Types'!$E$4</f>
        <v>80.974233694752215</v>
      </c>
      <c r="K76" s="10">
        <f t="shared" si="8"/>
        <v>0</v>
      </c>
    </row>
    <row r="77" spans="1:11" x14ac:dyDescent="0.2">
      <c r="A77" s="158">
        <v>3</v>
      </c>
      <c r="B77" s="102" t="s">
        <v>55</v>
      </c>
      <c r="C77" s="5">
        <f>SUMIFS(Physician_Visit_March,Physician_Visit_Practice,March!B77,Physician_Visit_Hospitalists, "&lt;&gt;"&amp;'Physician Types'!$D$81)+SUMIFS(Physician_Visit_March,Physician_Visit_Practice,March!B77,Physician_Visit_Hospitalists,'Physician Types'!$D$81)*INDEX(Physician_Type_Hospitalists_Visit_Minutes,MATCH(March!B77,Physician_Type_Practice,0))/INDEX(Physician_Type_Visit_Minutes,MATCH(March!B77,Physician_Type_Practice,0)) +SUMIF(Physician_Minutes_Practice,March!B77,Physician_Minutes_March)/INDEX(Physician_Type_Visit_Minutes,MATCH(March!B77,Physician_Type_Practice,0))</f>
        <v>0</v>
      </c>
      <c r="D77" s="43">
        <f t="shared" si="5"/>
        <v>0</v>
      </c>
      <c r="E77" s="17">
        <f>INDEX(Physician_Type_Bed_Rate,MATCH(March!B77,Physician_Type_Practice,0))*'Hospital Input Page'!$C$4</f>
        <v>2222.9369047559121</v>
      </c>
      <c r="F77" s="9">
        <f t="shared" si="7"/>
        <v>0</v>
      </c>
      <c r="H77" s="5">
        <f t="array" ref="H77">SUMIFS(Physician_Visit_March, Physician_Visit_Practice, March!B77, Independent_Contractor_Visits,  'Physician Types'!$D$81) + SUMIFS(Physician_Minutes_March,Physician_Minutes_Practice,March!B77, Independent_Contractor_Minutes, 'Physician Types'!$D$81)/INDEX(Physician_Type_Visit_Minutes,MATCH(March!B77,Physician_Type_Practice,0))</f>
        <v>0</v>
      </c>
      <c r="I77" s="43">
        <f t="shared" si="6"/>
        <v>0</v>
      </c>
      <c r="J77" s="10">
        <f>E77*'Physician Types'!$E$4</f>
        <v>66.688107142677367</v>
      </c>
      <c r="K77" s="10">
        <f t="shared" si="8"/>
        <v>0</v>
      </c>
    </row>
    <row r="78" spans="1:11" x14ac:dyDescent="0.2">
      <c r="A78" s="158">
        <v>8</v>
      </c>
      <c r="B78" s="102" t="s">
        <v>77</v>
      </c>
      <c r="C78" s="5">
        <f>SUMIFS(Physician_Visit_March,Physician_Visit_Practice,March!B78,Physician_Visit_Hospitalists, "&lt;&gt;"&amp;'Physician Types'!$D$81)+SUMIFS(Physician_Visit_March,Physician_Visit_Practice,March!B78,Physician_Visit_Hospitalists,'Physician Types'!$D$81)*INDEX(Physician_Type_Hospitalists_Visit_Minutes,MATCH(March!B78,Physician_Type_Practice,0))/INDEX(Physician_Type_Visit_Minutes,MATCH(March!B78,Physician_Type_Practice,0)) +SUMIF(Physician_Minutes_Practice,March!B78,Physician_Minutes_March)/INDEX(Physician_Type_Visit_Minutes,MATCH(March!B78,Physician_Type_Practice,0))</f>
        <v>0</v>
      </c>
      <c r="D78" s="43">
        <f t="shared" ref="D78:D110" si="9">C78*INDEX(Physician_Type_Visit_Minutes,MATCH(B78,Physician_Type_Practice,0))/INDEX(Physician_Type_FTE_Minutes,MATCH(B78,Physician_Type_Practice,0))</f>
        <v>0</v>
      </c>
      <c r="E78" s="17">
        <f>INDEX(Physician_Type_Bed_Rate,MATCH(March!B78,Physician_Type_Practice,0))*'Hospital Input Page'!$C$4</f>
        <v>11024.908318670894</v>
      </c>
      <c r="F78" s="9">
        <f t="shared" si="7"/>
        <v>0</v>
      </c>
      <c r="H78" s="5">
        <f t="array" ref="H78">SUMIFS(Physician_Visit_March, Physician_Visit_Practice, March!B78, Independent_Contractor_Visits,  'Physician Types'!$D$81) + SUMIFS(Physician_Minutes_March,Physician_Minutes_Practice,March!B78, Independent_Contractor_Minutes, 'Physician Types'!$D$81)/INDEX(Physician_Type_Visit_Minutes,MATCH(March!B78,Physician_Type_Practice,0))</f>
        <v>0</v>
      </c>
      <c r="I78" s="43">
        <f t="shared" ref="I78:I110" si="10">H78*INDEX(Physician_Type_Visit_Minutes,MATCH(B78,Physician_Type_Practice,0))/INDEX(Physician_Type_FTE_Minutes,MATCH(B78,Physician_Type_Practice,0))</f>
        <v>0</v>
      </c>
      <c r="J78" s="10">
        <f>E78*'Physician Types'!$E$4</f>
        <v>330.74724956012682</v>
      </c>
      <c r="K78" s="10">
        <f t="shared" si="8"/>
        <v>0</v>
      </c>
    </row>
    <row r="79" spans="1:11" x14ac:dyDescent="0.2">
      <c r="A79" s="158"/>
      <c r="B79" s="102" t="s">
        <v>79</v>
      </c>
      <c r="C79" s="5">
        <f>SUMIFS(Physician_Visit_March,Physician_Visit_Practice,March!B79,Physician_Visit_Hospitalists, "&lt;&gt;"&amp;'Physician Types'!$D$81)+SUMIFS(Physician_Visit_March,Physician_Visit_Practice,March!B79,Physician_Visit_Hospitalists,'Physician Types'!$D$81)*INDEX(Physician_Type_Hospitalists_Visit_Minutes,MATCH(March!B79,Physician_Type_Practice,0))/INDEX(Physician_Type_Visit_Minutes,MATCH(March!B79,Physician_Type_Practice,0)) +SUMIF(Physician_Minutes_Practice,March!B79,Physician_Minutes_March)/INDEX(Physician_Type_Visit_Minutes,MATCH(March!B79,Physician_Type_Practice,0))</f>
        <v>0</v>
      </c>
      <c r="D79" s="43">
        <f t="shared" si="9"/>
        <v>0</v>
      </c>
      <c r="E79" s="17">
        <f>INDEX(Physician_Type_Bed_Rate,MATCH(March!B79,Physician_Type_Practice,0))*'Hospital Input Page'!$C$4</f>
        <v>858.72891843072989</v>
      </c>
      <c r="F79" s="9">
        <f t="shared" si="7"/>
        <v>0</v>
      </c>
      <c r="H79" s="5">
        <f t="array" ref="H79">SUMIFS(Physician_Visit_March, Physician_Visit_Practice, March!B79, Independent_Contractor_Visits,  'Physician Types'!$D$81) + SUMIFS(Physician_Minutes_March,Physician_Minutes_Practice,March!B79, Independent_Contractor_Minutes, 'Physician Types'!$D$81)/INDEX(Physician_Type_Visit_Minutes,MATCH(March!B79,Physician_Type_Practice,0))</f>
        <v>0</v>
      </c>
      <c r="I79" s="43">
        <f t="shared" si="10"/>
        <v>0</v>
      </c>
      <c r="J79" s="10">
        <f>E79*'Physician Types'!$E$4</f>
        <v>25.761867552921895</v>
      </c>
      <c r="K79" s="10">
        <f t="shared" si="8"/>
        <v>0</v>
      </c>
    </row>
    <row r="80" spans="1:11" x14ac:dyDescent="0.2">
      <c r="A80" s="158">
        <v>5</v>
      </c>
      <c r="B80" s="102" t="s">
        <v>67</v>
      </c>
      <c r="C80" s="5">
        <f>SUMIFS(Physician_Visit_March,Physician_Visit_Practice,March!B80,Physician_Visit_Hospitalists, "&lt;&gt;"&amp;'Physician Types'!$D$81)+SUMIFS(Physician_Visit_March,Physician_Visit_Practice,March!B80,Physician_Visit_Hospitalists,'Physician Types'!$D$81)*INDEX(Physician_Type_Hospitalists_Visit_Minutes,MATCH(March!B80,Physician_Type_Practice,0))/INDEX(Physician_Type_Visit_Minutes,MATCH(March!B80,Physician_Type_Practice,0)) +SUMIF(Physician_Minutes_Practice,March!B80,Physician_Minutes_March)/INDEX(Physician_Type_Visit_Minutes,MATCH(March!B80,Physician_Type_Practice,0))</f>
        <v>0</v>
      </c>
      <c r="D80" s="43">
        <f t="shared" si="9"/>
        <v>0</v>
      </c>
      <c r="E80" s="17">
        <f>INDEX(Physician_Type_Bed_Rate,MATCH(March!B80,Physician_Type_Practice,0))*'Hospital Input Page'!$C$4</f>
        <v>1955.5599460627077</v>
      </c>
      <c r="F80" s="9">
        <f t="shared" si="7"/>
        <v>0</v>
      </c>
      <c r="H80" s="5">
        <f t="array" ref="H80">SUMIFS(Physician_Visit_March, Physician_Visit_Practice, March!B80, Independent_Contractor_Visits,  'Physician Types'!$D$81) + SUMIFS(Physician_Minutes_March,Physician_Minutes_Practice,March!B80, Independent_Contractor_Minutes, 'Physician Types'!$D$81)/INDEX(Physician_Type_Visit_Minutes,MATCH(March!B80,Physician_Type_Practice,0))</f>
        <v>0</v>
      </c>
      <c r="I80" s="43">
        <f t="shared" si="10"/>
        <v>0</v>
      </c>
      <c r="J80" s="10">
        <f>E80*'Physician Types'!$E$4</f>
        <v>58.666798381881229</v>
      </c>
      <c r="K80" s="10">
        <f t="shared" si="8"/>
        <v>0</v>
      </c>
    </row>
    <row r="81" spans="1:11" x14ac:dyDescent="0.2">
      <c r="A81" s="158"/>
      <c r="B81" s="102" t="s">
        <v>80</v>
      </c>
      <c r="C81" s="5">
        <f>SUMIFS(Physician_Visit_March,Physician_Visit_Practice,March!B81,Physician_Visit_Hospitalists, "&lt;&gt;"&amp;'Physician Types'!$D$81)+SUMIFS(Physician_Visit_March,Physician_Visit_Practice,March!B81,Physician_Visit_Hospitalists,'Physician Types'!$D$81)*INDEX(Physician_Type_Hospitalists_Visit_Minutes,MATCH(March!B81,Physician_Type_Practice,0))/INDEX(Physician_Type_Visit_Minutes,MATCH(March!B81,Physician_Type_Practice,0)) +SUMIF(Physician_Minutes_Practice,March!B81,Physician_Minutes_March)/INDEX(Physician_Type_Visit_Minutes,MATCH(March!B81,Physician_Type_Practice,0))</f>
        <v>0</v>
      </c>
      <c r="D81" s="43">
        <f t="shared" si="9"/>
        <v>0</v>
      </c>
      <c r="E81" s="17">
        <f>INDEX(Physician_Type_Bed_Rate,MATCH(March!B81,Physician_Type_Practice,0))*'Hospital Input Page'!$C$4</f>
        <v>493.76912809766964</v>
      </c>
      <c r="F81" s="9">
        <f t="shared" si="7"/>
        <v>0</v>
      </c>
      <c r="H81" s="5">
        <f t="array" ref="H81">SUMIFS(Physician_Visit_March, Physician_Visit_Practice, March!B81, Independent_Contractor_Visits,  'Physician Types'!$D$81) + SUMIFS(Physician_Minutes_March,Physician_Minutes_Practice,March!B81, Independent_Contractor_Minutes, 'Physician Types'!$D$81)/INDEX(Physician_Type_Visit_Minutes,MATCH(March!B81,Physician_Type_Practice,0))</f>
        <v>0</v>
      </c>
      <c r="I81" s="43">
        <f t="shared" si="10"/>
        <v>0</v>
      </c>
      <c r="J81" s="10">
        <f>E81*'Physician Types'!$E$4</f>
        <v>14.813073842930088</v>
      </c>
      <c r="K81" s="10">
        <f t="shared" si="8"/>
        <v>0</v>
      </c>
    </row>
    <row r="82" spans="1:11" x14ac:dyDescent="0.2">
      <c r="A82" s="158">
        <v>8</v>
      </c>
      <c r="B82" s="128" t="s">
        <v>139</v>
      </c>
      <c r="C82" s="5">
        <f>SUMIFS(Physician_Visit_March,Physician_Visit_Practice,March!B82,Physician_Visit_Hospitalists, "&lt;&gt;"&amp;'Physician Types'!$D$81)+SUMIFS(Physician_Visit_March,Physician_Visit_Practice,March!B82,Physician_Visit_Hospitalists,'Physician Types'!$D$81)*INDEX(Physician_Type_Hospitalists_Visit_Minutes,MATCH(March!B82,Physician_Type_Practice,0))/INDEX(Physician_Type_Visit_Minutes,MATCH(March!B82,Physician_Type_Practice,0)) +SUMIF(Physician_Minutes_Practice,March!B82,Physician_Minutes_March)/INDEX(Physician_Type_Visit_Minutes,MATCH(March!B82,Physician_Type_Practice,0))</f>
        <v>0</v>
      </c>
      <c r="D82" s="43">
        <f t="shared" si="9"/>
        <v>0</v>
      </c>
      <c r="E82" s="17">
        <f>INDEX(Physician_Type_Bed_Rate,MATCH(March!B82,Physician_Type_Practice,0))*'Hospital Input Page'!$C$4</f>
        <v>8509.2229189954141</v>
      </c>
      <c r="F82" s="9">
        <f t="shared" si="7"/>
        <v>0</v>
      </c>
      <c r="H82" s="5">
        <f t="array" ref="H82">SUMIFS(Physician_Visit_March, Physician_Visit_Practice, March!B82, Independent_Contractor_Visits,  'Physician Types'!$D$81) + SUMIFS(Physician_Minutes_March,Physician_Minutes_Practice,March!B82, Independent_Contractor_Minutes, 'Physician Types'!$D$81)/INDEX(Physician_Type_Visit_Minutes,MATCH(March!B82,Physician_Type_Practice,0))</f>
        <v>0</v>
      </c>
      <c r="I82" s="43">
        <f t="shared" si="10"/>
        <v>0</v>
      </c>
      <c r="J82" s="10">
        <f>E82*'Physician Types'!$E$4</f>
        <v>255.27668756986242</v>
      </c>
      <c r="K82" s="10">
        <f t="shared" si="8"/>
        <v>0</v>
      </c>
    </row>
    <row r="83" spans="1:11" x14ac:dyDescent="0.2">
      <c r="A83" s="158">
        <v>8</v>
      </c>
      <c r="B83" s="102" t="s">
        <v>78</v>
      </c>
      <c r="C83" s="5">
        <f>SUMIFS(Physician_Visit_March,Physician_Visit_Practice,March!B83,Physician_Visit_Hospitalists, "&lt;&gt;"&amp;'Physician Types'!$D$81)+SUMIFS(Physician_Visit_March,Physician_Visit_Practice,March!B83,Physician_Visit_Hospitalists,'Physician Types'!$D$81)*INDEX(Physician_Type_Hospitalists_Visit_Minutes,MATCH(March!B83,Physician_Type_Practice,0))/INDEX(Physician_Type_Visit_Minutes,MATCH(March!B83,Physician_Type_Practice,0)) +SUMIF(Physician_Minutes_Practice,March!B83,Physician_Minutes_March)/INDEX(Physician_Type_Visit_Minutes,MATCH(March!B83,Physician_Type_Practice,0))</f>
        <v>0</v>
      </c>
      <c r="D83" s="43">
        <f t="shared" si="9"/>
        <v>0</v>
      </c>
      <c r="E83" s="17">
        <f>INDEX(Physician_Type_Bed_Rate,MATCH(March!B83,Physician_Type_Practice,0))*'Hospital Input Page'!$C$4</f>
        <v>8509.2229189954141</v>
      </c>
      <c r="F83" s="9">
        <f t="shared" si="7"/>
        <v>0</v>
      </c>
      <c r="H83" s="5">
        <f t="array" ref="H83">SUMIFS(Physician_Visit_March, Physician_Visit_Practice, March!B83, Independent_Contractor_Visits,  'Physician Types'!$D$81) + SUMIFS(Physician_Minutes_March,Physician_Minutes_Practice,March!B83, Independent_Contractor_Minutes, 'Physician Types'!$D$81)/INDEX(Physician_Type_Visit_Minutes,MATCH(March!B83,Physician_Type_Practice,0))</f>
        <v>0</v>
      </c>
      <c r="I83" s="43">
        <f t="shared" si="10"/>
        <v>0</v>
      </c>
      <c r="J83" s="10">
        <f>E83*'Physician Types'!$E$4</f>
        <v>255.27668756986242</v>
      </c>
      <c r="K83" s="10">
        <f t="shared" si="8"/>
        <v>0</v>
      </c>
    </row>
    <row r="84" spans="1:11" x14ac:dyDescent="0.2">
      <c r="A84" s="158">
        <v>2</v>
      </c>
      <c r="B84" s="107" t="s">
        <v>47</v>
      </c>
      <c r="C84" s="5">
        <f>SUMIFS(Physician_Visit_March,Physician_Visit_Practice,March!B84,Physician_Visit_Hospitalists, "&lt;&gt;"&amp;'Physician Types'!$D$81)+SUMIFS(Physician_Visit_March,Physician_Visit_Practice,March!B84,Physician_Visit_Hospitalists,'Physician Types'!$D$81)*INDEX(Physician_Type_Hospitalists_Visit_Minutes,MATCH(March!B84,Physician_Type_Practice,0))/INDEX(Physician_Type_Visit_Minutes,MATCH(March!B84,Physician_Type_Practice,0)) +SUMIF(Physician_Minutes_Practice,March!B84,Physician_Minutes_March)/INDEX(Physician_Type_Visit_Minutes,MATCH(March!B84,Physician_Type_Practice,0))</f>
        <v>0</v>
      </c>
      <c r="D84" s="43">
        <f t="shared" si="9"/>
        <v>0</v>
      </c>
      <c r="E84" s="17">
        <f>INDEX(Physician_Type_Bed_Rate,MATCH(March!B84,Physician_Type_Practice,0))*'Hospital Input Page'!$C$4</f>
        <v>1727.2161200254454</v>
      </c>
      <c r="F84" s="9">
        <f t="shared" si="7"/>
        <v>0</v>
      </c>
      <c r="H84" s="5">
        <f t="array" ref="H84">SUMIFS(Physician_Visit_March, Physician_Visit_Practice, March!B84, Independent_Contractor_Visits,  'Physician Types'!$D$81) + SUMIFS(Physician_Minutes_March,Physician_Minutes_Practice,March!B84, Independent_Contractor_Minutes, 'Physician Types'!$D$81)/INDEX(Physician_Type_Visit_Minutes,MATCH(March!B84,Physician_Type_Practice,0))</f>
        <v>0</v>
      </c>
      <c r="I84" s="43">
        <f t="shared" si="10"/>
        <v>0</v>
      </c>
      <c r="J84" s="10">
        <f>E84*'Physician Types'!$E$4</f>
        <v>51.816483600763362</v>
      </c>
      <c r="K84" s="10">
        <f t="shared" si="8"/>
        <v>0</v>
      </c>
    </row>
    <row r="85" spans="1:11" x14ac:dyDescent="0.2">
      <c r="A85" s="158">
        <v>3</v>
      </c>
      <c r="B85" s="102" t="s">
        <v>56</v>
      </c>
      <c r="C85" s="5">
        <f>SUMIFS(Physician_Visit_March,Physician_Visit_Practice,March!B85,Physician_Visit_Hospitalists, "&lt;&gt;"&amp;'Physician Types'!$D$81)+SUMIFS(Physician_Visit_March,Physician_Visit_Practice,March!B85,Physician_Visit_Hospitalists,'Physician Types'!$D$81)*INDEX(Physician_Type_Hospitalists_Visit_Minutes,MATCH(March!B85,Physician_Type_Practice,0))/INDEX(Physician_Type_Visit_Minutes,MATCH(March!B85,Physician_Type_Practice,0)) +SUMIF(Physician_Minutes_Practice,March!B85,Physician_Minutes_March)/INDEX(Physician_Type_Visit_Minutes,MATCH(March!B85,Physician_Type_Practice,0))</f>
        <v>0</v>
      </c>
      <c r="D85" s="43">
        <f t="shared" si="9"/>
        <v>0</v>
      </c>
      <c r="E85" s="17">
        <f>INDEX(Physician_Type_Bed_Rate,MATCH(March!B85,Physician_Type_Practice,0))*'Hospital Input Page'!$C$4</f>
        <v>1842.3638613604746</v>
      </c>
      <c r="F85" s="9">
        <f t="shared" si="7"/>
        <v>0</v>
      </c>
      <c r="H85" s="5">
        <f t="array" ref="H85">SUMIFS(Physician_Visit_March, Physician_Visit_Practice, March!B85, Independent_Contractor_Visits,  'Physician Types'!$D$81) + SUMIFS(Physician_Minutes_March,Physician_Minutes_Practice,March!B85, Independent_Contractor_Minutes, 'Physician Types'!$D$81)/INDEX(Physician_Type_Visit_Minutes,MATCH(March!B85,Physician_Type_Practice,0))</f>
        <v>0</v>
      </c>
      <c r="I85" s="43">
        <f t="shared" si="10"/>
        <v>0</v>
      </c>
      <c r="J85" s="10">
        <f>E85*'Physician Types'!$E$4</f>
        <v>55.27091584081424</v>
      </c>
      <c r="K85" s="10">
        <f t="shared" si="8"/>
        <v>0</v>
      </c>
    </row>
    <row r="86" spans="1:11" x14ac:dyDescent="0.2">
      <c r="A86" s="158">
        <v>3</v>
      </c>
      <c r="B86" s="102" t="s">
        <v>57</v>
      </c>
      <c r="C86" s="5">
        <f>SUMIFS(Physician_Visit_March,Physician_Visit_Practice,March!B86,Physician_Visit_Hospitalists, "&lt;&gt;"&amp;'Physician Types'!$D$81)+SUMIFS(Physician_Visit_March,Physician_Visit_Practice,March!B86,Physician_Visit_Hospitalists,'Physician Types'!$D$81)*INDEX(Physician_Type_Hospitalists_Visit_Minutes,MATCH(March!B86,Physician_Type_Practice,0))/INDEX(Physician_Type_Visit_Minutes,MATCH(March!B86,Physician_Type_Practice,0)) +SUMIF(Physician_Minutes_Practice,March!B86,Physician_Minutes_March)/INDEX(Physician_Type_Visit_Minutes,MATCH(March!B86,Physician_Type_Practice,0))</f>
        <v>0</v>
      </c>
      <c r="D86" s="43">
        <f t="shared" si="9"/>
        <v>0</v>
      </c>
      <c r="E86" s="17">
        <f>INDEX(Physician_Type_Bed_Rate,MATCH(March!B86,Physician_Type_Practice,0))*'Hospital Input Page'!$C$4</f>
        <v>1165.1390097798767</v>
      </c>
      <c r="F86" s="9">
        <f t="shared" si="7"/>
        <v>0</v>
      </c>
      <c r="H86" s="5">
        <f t="array" ref="H86">SUMIFS(Physician_Visit_March, Physician_Visit_Practice, March!B86, Independent_Contractor_Visits,  'Physician Types'!$D$81) + SUMIFS(Physician_Minutes_March,Physician_Minutes_Practice,March!B86, Independent_Contractor_Minutes, 'Physician Types'!$D$81)/INDEX(Physician_Type_Visit_Minutes,MATCH(March!B86,Physician_Type_Practice,0))</f>
        <v>0</v>
      </c>
      <c r="I86" s="43">
        <f t="shared" si="10"/>
        <v>0</v>
      </c>
      <c r="J86" s="10">
        <f>E86*'Physician Types'!$E$4</f>
        <v>34.954170293396302</v>
      </c>
      <c r="K86" s="10">
        <f t="shared" si="8"/>
        <v>0</v>
      </c>
    </row>
    <row r="87" spans="1:11" x14ac:dyDescent="0.2">
      <c r="A87" s="158">
        <v>3</v>
      </c>
      <c r="B87" s="102" t="s">
        <v>58</v>
      </c>
      <c r="C87" s="5">
        <f>SUMIFS(Physician_Visit_March,Physician_Visit_Practice,March!B87,Physician_Visit_Hospitalists, "&lt;&gt;"&amp;'Physician Types'!$D$81)+SUMIFS(Physician_Visit_March,Physician_Visit_Practice,March!B87,Physician_Visit_Hospitalists,'Physician Types'!$D$81)*INDEX(Physician_Type_Hospitalists_Visit_Minutes,MATCH(March!B87,Physician_Type_Practice,0))/INDEX(Physician_Type_Visit_Minutes,MATCH(March!B87,Physician_Type_Practice,0)) +SUMIF(Physician_Minutes_Practice,March!B87,Physician_Minutes_March)/INDEX(Physician_Type_Visit_Minutes,MATCH(March!B87,Physician_Type_Practice,0))</f>
        <v>0</v>
      </c>
      <c r="D87" s="43">
        <f t="shared" si="9"/>
        <v>0</v>
      </c>
      <c r="E87" s="17">
        <f>INDEX(Physician_Type_Bed_Rate,MATCH(March!B87,Physician_Type_Practice,0))*'Hospital Input Page'!$C$4</f>
        <v>2406.3926282388406</v>
      </c>
      <c r="F87" s="9">
        <f t="shared" si="7"/>
        <v>0</v>
      </c>
      <c r="H87" s="5">
        <f t="array" ref="H87">SUMIFS(Physician_Visit_March, Physician_Visit_Practice, March!B87, Independent_Contractor_Visits,  'Physician Types'!$D$81) + SUMIFS(Physician_Minutes_March,Physician_Minutes_Practice,March!B87, Independent_Contractor_Minutes, 'Physician Types'!$D$81)/INDEX(Physician_Type_Visit_Minutes,MATCH(March!B87,Physician_Type_Practice,0))</f>
        <v>0</v>
      </c>
      <c r="I87" s="43">
        <f t="shared" si="10"/>
        <v>0</v>
      </c>
      <c r="J87" s="10">
        <f>E87*'Physician Types'!$E$4</f>
        <v>72.19177884716521</v>
      </c>
      <c r="K87" s="10">
        <f t="shared" si="8"/>
        <v>0</v>
      </c>
    </row>
    <row r="88" spans="1:11" x14ac:dyDescent="0.2">
      <c r="A88" s="158">
        <v>7</v>
      </c>
      <c r="B88" s="102" t="s">
        <v>73</v>
      </c>
      <c r="C88" s="5">
        <f>SUMIFS(Physician_Visit_March,Physician_Visit_Practice,March!B88,Physician_Visit_Hospitalists, "&lt;&gt;"&amp;'Physician Types'!$D$81)+SUMIFS(Physician_Visit_March,Physician_Visit_Practice,March!B88,Physician_Visit_Hospitalists,'Physician Types'!$D$81)*INDEX(Physician_Type_Hospitalists_Visit_Minutes,MATCH(March!B88,Physician_Type_Practice,0))/INDEX(Physician_Type_Visit_Minutes,MATCH(March!B88,Physician_Type_Practice,0)) +SUMIF(Physician_Minutes_Practice,March!B88,Physician_Minutes_March)/INDEX(Physician_Type_Visit_Minutes,MATCH(March!B88,Physician_Type_Practice,0))</f>
        <v>0</v>
      </c>
      <c r="D88" s="43">
        <f t="shared" si="9"/>
        <v>0</v>
      </c>
      <c r="E88" s="17">
        <f>INDEX(Physician_Type_Bed_Rate,MATCH(March!B88,Physician_Type_Practice,0))*'Hospital Input Page'!$C$4</f>
        <v>7172.3381255293916</v>
      </c>
      <c r="F88" s="9">
        <f t="shared" si="7"/>
        <v>0</v>
      </c>
      <c r="H88" s="5">
        <f t="array" ref="H88">SUMIFS(Physician_Visit_March, Physician_Visit_Practice, March!B88, Independent_Contractor_Visits,  'Physician Types'!$D$81) + SUMIFS(Physician_Minutes_March,Physician_Minutes_Practice,March!B88, Independent_Contractor_Minutes, 'Physician Types'!$D$81)/INDEX(Physician_Type_Visit_Minutes,MATCH(March!B88,Physician_Type_Practice,0))</f>
        <v>0</v>
      </c>
      <c r="I88" s="43">
        <f t="shared" si="10"/>
        <v>0</v>
      </c>
      <c r="J88" s="10">
        <f>E88*'Physician Types'!$E$4</f>
        <v>215.17014376588173</v>
      </c>
      <c r="K88" s="10">
        <f t="shared" si="8"/>
        <v>0</v>
      </c>
    </row>
    <row r="89" spans="1:11" x14ac:dyDescent="0.2">
      <c r="A89" s="158">
        <v>7</v>
      </c>
      <c r="B89" s="128" t="s">
        <v>74</v>
      </c>
      <c r="C89" s="5">
        <f>SUMIFS(Physician_Visit_March,Physician_Visit_Practice,March!B89,Physician_Visit_Hospitalists, "&lt;&gt;"&amp;'Physician Types'!$D$81)+SUMIFS(Physician_Visit_March,Physician_Visit_Practice,March!B89,Physician_Visit_Hospitalists,'Physician Types'!$D$81)*INDEX(Physician_Type_Hospitalists_Visit_Minutes,MATCH(March!B89,Physician_Type_Practice,0))/INDEX(Physician_Type_Visit_Minutes,MATCH(March!B89,Physician_Type_Practice,0)) +SUMIF(Physician_Minutes_Practice,March!B89,Physician_Minutes_March)/INDEX(Physician_Type_Visit_Minutes,MATCH(March!B89,Physician_Type_Practice,0))</f>
        <v>0</v>
      </c>
      <c r="D89" s="43">
        <f t="shared" si="9"/>
        <v>0</v>
      </c>
      <c r="E89" s="17">
        <f>INDEX(Physician_Type_Bed_Rate,MATCH(March!B89,Physician_Type_Practice,0))*'Hospital Input Page'!$C$4</f>
        <v>4073.1073926475756</v>
      </c>
      <c r="F89" s="9">
        <f t="shared" si="7"/>
        <v>0</v>
      </c>
      <c r="H89" s="5">
        <f t="array" ref="H89">SUMIFS(Physician_Visit_March, Physician_Visit_Practice, March!B89, Independent_Contractor_Visits,  'Physician Types'!$D$81) + SUMIFS(Physician_Minutes_March,Physician_Minutes_Practice,March!B89, Independent_Contractor_Minutes, 'Physician Types'!$D$81)/INDEX(Physician_Type_Visit_Minutes,MATCH(March!B89,Physician_Type_Practice,0))</f>
        <v>0</v>
      </c>
      <c r="I89" s="43">
        <f t="shared" si="10"/>
        <v>0</v>
      </c>
      <c r="J89" s="10">
        <f>E89*'Physician Types'!$E$4</f>
        <v>122.19322177942726</v>
      </c>
      <c r="K89" s="10">
        <f t="shared" si="8"/>
        <v>0</v>
      </c>
    </row>
    <row r="90" spans="1:11" x14ac:dyDescent="0.2">
      <c r="A90" s="158">
        <v>4</v>
      </c>
      <c r="B90" s="128" t="s">
        <v>146</v>
      </c>
      <c r="C90" s="5">
        <f>SUMIFS(Physician_Visit_March,Physician_Visit_Practice,March!B90,Physician_Visit_Hospitalists, "&lt;&gt;"&amp;'Physician Types'!$D$81)+SUMIFS(Physician_Visit_March,Physician_Visit_Practice,March!B90,Physician_Visit_Hospitalists,'Physician Types'!$D$81)*INDEX(Physician_Type_Hospitalists_Visit_Minutes,MATCH(March!B90,Physician_Type_Practice,0))/INDEX(Physician_Type_Visit_Minutes,MATCH(March!B90,Physician_Type_Practice,0)) +SUMIF(Physician_Minutes_Practice,March!B90,Physician_Minutes_March)/INDEX(Physician_Type_Visit_Minutes,MATCH(March!B90,Physician_Type_Practice,0))</f>
        <v>0</v>
      </c>
      <c r="D90" s="43">
        <f t="shared" si="9"/>
        <v>0</v>
      </c>
      <c r="E90" s="17">
        <f>INDEX(Physician_Type_Bed_Rate,MATCH(March!B90,Physician_Type_Practice,0))*'Hospital Input Page'!$C$4</f>
        <v>2997.7445879763663</v>
      </c>
      <c r="F90" s="9">
        <f t="shared" si="7"/>
        <v>0</v>
      </c>
      <c r="H90" s="5">
        <f t="array" ref="H90">SUMIFS(Physician_Visit_March, Physician_Visit_Practice, March!B90, Independent_Contractor_Visits,  'Physician Types'!$D$81) + SUMIFS(Physician_Minutes_March,Physician_Minutes_Practice,March!B90, Independent_Contractor_Minutes, 'Physician Types'!$D$81)/INDEX(Physician_Type_Visit_Minutes,MATCH(March!B90,Physician_Type_Practice,0))</f>
        <v>0</v>
      </c>
      <c r="I90" s="43">
        <f t="shared" si="10"/>
        <v>0</v>
      </c>
      <c r="J90" s="10">
        <f>E90*'Physician Types'!$E$4</f>
        <v>89.932337639290992</v>
      </c>
      <c r="K90" s="10">
        <f t="shared" si="8"/>
        <v>0</v>
      </c>
    </row>
    <row r="91" spans="1:11" x14ac:dyDescent="0.2">
      <c r="A91" s="158">
        <v>6</v>
      </c>
      <c r="B91" s="128" t="s">
        <v>71</v>
      </c>
      <c r="C91" s="5">
        <f>SUMIFS(Physician_Visit_March,Physician_Visit_Practice,March!B91,Physician_Visit_Hospitalists, "&lt;&gt;"&amp;'Physician Types'!$D$81)+SUMIFS(Physician_Visit_March,Physician_Visit_Practice,March!B91,Physician_Visit_Hospitalists,'Physician Types'!$D$81)*INDEX(Physician_Type_Hospitalists_Visit_Minutes,MATCH(March!B91,Physician_Type_Practice,0))/INDEX(Physician_Type_Visit_Minutes,MATCH(March!B91,Physician_Type_Practice,0)) +SUMIF(Physician_Minutes_Practice,March!B91,Physician_Minutes_March)/INDEX(Physician_Type_Visit_Minutes,MATCH(March!B91,Physician_Type_Practice,0))</f>
        <v>0</v>
      </c>
      <c r="D91" s="43">
        <f t="shared" si="9"/>
        <v>0</v>
      </c>
      <c r="E91" s="17">
        <f>INDEX(Physician_Type_Bed_Rate,MATCH(March!B91,Physician_Type_Practice,0))*'Hospital Input Page'!$C$4</f>
        <v>4912.3197447503335</v>
      </c>
      <c r="F91" s="9">
        <f t="shared" si="7"/>
        <v>0</v>
      </c>
      <c r="H91" s="5">
        <f t="array" ref="H91">SUMIFS(Physician_Visit_March, Physician_Visit_Practice, March!B91, Independent_Contractor_Visits,  'Physician Types'!$D$81) + SUMIFS(Physician_Minutes_March,Physician_Minutes_Practice,March!B91, Independent_Contractor_Minutes, 'Physician Types'!$D$81)/INDEX(Physician_Type_Visit_Minutes,MATCH(March!B91,Physician_Type_Practice,0))</f>
        <v>0</v>
      </c>
      <c r="I91" s="43">
        <f t="shared" si="10"/>
        <v>0</v>
      </c>
      <c r="J91" s="10">
        <f>E91*'Physician Types'!$E$4</f>
        <v>147.36959234251</v>
      </c>
      <c r="K91" s="10">
        <f t="shared" si="8"/>
        <v>0</v>
      </c>
    </row>
    <row r="92" spans="1:11" x14ac:dyDescent="0.2">
      <c r="A92" s="158">
        <v>4</v>
      </c>
      <c r="B92" s="128" t="s">
        <v>152</v>
      </c>
      <c r="C92" s="5">
        <f>SUMIFS(Physician_Visit_March,Physician_Visit_Practice,March!B92,Physician_Visit_Hospitalists, "&lt;&gt;"&amp;'Physician Types'!$D$81)+SUMIFS(Physician_Visit_March,Physician_Visit_Practice,March!B92,Physician_Visit_Hospitalists,'Physician Types'!$D$81)*INDEX(Physician_Type_Hospitalists_Visit_Minutes,MATCH(March!B92,Physician_Type_Practice,0))/INDEX(Physician_Type_Visit_Minutes,MATCH(March!B92,Physician_Type_Practice,0)) +SUMIF(Physician_Minutes_Practice,March!B92,Physician_Minutes_March)/INDEX(Physician_Type_Visit_Minutes,MATCH(March!B92,Physician_Type_Practice,0))</f>
        <v>0</v>
      </c>
      <c r="D92" s="43">
        <f t="shared" si="9"/>
        <v>0</v>
      </c>
      <c r="E92" s="17">
        <f>IFERROR(INDEX(Physician_Type_Bed_Rate,MATCH(March!B92,Physician_Type_Practice,0))*'Hospital Input Page'!$C$4,0)</f>
        <v>2664.0113037680594</v>
      </c>
      <c r="F92" s="9">
        <f t="shared" si="7"/>
        <v>0</v>
      </c>
      <c r="H92" s="5">
        <f t="array" ref="H92">SUMIFS(Physician_Visit_March, Physician_Visit_Practice, March!B92, Independent_Contractor_Visits,  'Physician Types'!$D$81) + SUMIFS(Physician_Minutes_March,Physician_Minutes_Practice,March!B92, Independent_Contractor_Minutes, 'Physician Types'!$D$81)/INDEX(Physician_Type_Visit_Minutes,MATCH(March!B92,Physician_Type_Practice,0))</f>
        <v>0</v>
      </c>
      <c r="I92" s="43">
        <f t="shared" si="10"/>
        <v>0</v>
      </c>
      <c r="J92" s="10">
        <f>E92*'Physician Types'!$E$4</f>
        <v>79.920339113041777</v>
      </c>
      <c r="K92" s="10">
        <f t="shared" si="8"/>
        <v>0</v>
      </c>
    </row>
    <row r="93" spans="1:11" x14ac:dyDescent="0.2">
      <c r="A93" s="158">
        <v>1</v>
      </c>
      <c r="B93" s="107" t="s">
        <v>30</v>
      </c>
      <c r="C93" s="5">
        <f>SUMIFS(Physician_Visit_March,Physician_Visit_Practice,March!B93,Physician_Visit_Hospitalists, "&lt;&gt;"&amp;'Physician Types'!$D$81)+SUMIFS(Physician_Visit_March,Physician_Visit_Practice,March!B93,Physician_Visit_Hospitalists,'Physician Types'!$D$81)*INDEX(Physician_Type_Hospitalists_Visit_Minutes,MATCH(March!B93,Physician_Type_Practice,0))/INDEX(Physician_Type_Visit_Minutes,MATCH(March!B93,Physician_Type_Practice,0)) +SUMIF(Physician_Minutes_Practice,March!B93,Physician_Minutes_March)/INDEX(Physician_Type_Visit_Minutes,MATCH(March!B93,Physician_Type_Practice,0))</f>
        <v>0</v>
      </c>
      <c r="D93" s="43">
        <f t="shared" si="9"/>
        <v>0</v>
      </c>
      <c r="E93" s="17">
        <f>INDEX(Physician_Type_Bed_Rate,MATCH(March!B93,Physician_Type_Practice,0))*'Hospital Input Page'!$C$4</f>
        <v>2544.9602491674359</v>
      </c>
      <c r="F93" s="9">
        <f t="shared" si="7"/>
        <v>0</v>
      </c>
      <c r="H93" s="5">
        <f t="array" ref="H93">SUMIFS(Physician_Visit_March, Physician_Visit_Practice, March!B93, Independent_Contractor_Visits,  'Physician Types'!$D$81) + SUMIFS(Physician_Minutes_March,Physician_Minutes_Practice,March!B93, Independent_Contractor_Minutes, 'Physician Types'!$D$81)/INDEX(Physician_Type_Visit_Minutes,MATCH(March!B93,Physician_Type_Practice,0))</f>
        <v>0</v>
      </c>
      <c r="I93" s="43">
        <f t="shared" si="10"/>
        <v>0</v>
      </c>
      <c r="J93" s="10">
        <f>E93*'Physician Types'!$E$4</f>
        <v>76.348807475023079</v>
      </c>
      <c r="K93" s="10">
        <f t="shared" si="8"/>
        <v>0</v>
      </c>
    </row>
    <row r="94" spans="1:11" x14ac:dyDescent="0.2">
      <c r="A94" s="158">
        <v>1</v>
      </c>
      <c r="B94" s="107" t="s">
        <v>31</v>
      </c>
      <c r="C94" s="5">
        <f>SUMIFS(Physician_Visit_March,Physician_Visit_Practice,March!B94,Physician_Visit_Hospitalists, "&lt;&gt;"&amp;'Physician Types'!$D$81)+SUMIFS(Physician_Visit_March,Physician_Visit_Practice,March!B94,Physician_Visit_Hospitalists,'Physician Types'!$D$81)*INDEX(Physician_Type_Hospitalists_Visit_Minutes,MATCH(March!B94,Physician_Type_Practice,0))/INDEX(Physician_Type_Visit_Minutes,MATCH(March!B94,Physician_Type_Practice,0)) +SUMIF(Physician_Minutes_Practice,March!B94,Physician_Minutes_March)/INDEX(Physician_Type_Visit_Minutes,MATCH(March!B94,Physician_Type_Practice,0))</f>
        <v>0</v>
      </c>
      <c r="D94" s="43">
        <f t="shared" si="9"/>
        <v>0</v>
      </c>
      <c r="E94" s="17">
        <f>INDEX(Physician_Type_Bed_Rate,MATCH(March!B94,Physician_Type_Practice,0))*'Hospital Input Page'!$C$4</f>
        <v>1258.818528154138</v>
      </c>
      <c r="F94" s="9">
        <f t="shared" si="7"/>
        <v>0</v>
      </c>
      <c r="H94" s="5">
        <f t="array" ref="H94">SUMIFS(Physician_Visit_March, Physician_Visit_Practice, March!B94, Independent_Contractor_Visits,  'Physician Types'!$D$81) + SUMIFS(Physician_Minutes_March,Physician_Minutes_Practice,March!B94, Independent_Contractor_Minutes, 'Physician Types'!$D$81)/INDEX(Physician_Type_Visit_Minutes,MATCH(March!B94,Physician_Type_Practice,0))</f>
        <v>0</v>
      </c>
      <c r="I94" s="43">
        <f t="shared" si="10"/>
        <v>0</v>
      </c>
      <c r="J94" s="10">
        <f>E94*'Physician Types'!$E$4</f>
        <v>37.764555844624141</v>
      </c>
      <c r="K94" s="10">
        <f t="shared" si="8"/>
        <v>0</v>
      </c>
    </row>
    <row r="95" spans="1:11" x14ac:dyDescent="0.2">
      <c r="A95" s="158">
        <v>2</v>
      </c>
      <c r="B95" s="107" t="s">
        <v>48</v>
      </c>
      <c r="C95" s="5">
        <f>SUMIFS(Physician_Visit_March,Physician_Visit_Practice,March!B95,Physician_Visit_Hospitalists, "&lt;&gt;"&amp;'Physician Types'!$D$81)+SUMIFS(Physician_Visit_March,Physician_Visit_Practice,March!B95,Physician_Visit_Hospitalists,'Physician Types'!$D$81)*INDEX(Physician_Type_Hospitalists_Visit_Minutes,MATCH(March!B95,Physician_Type_Practice,0))/INDEX(Physician_Type_Visit_Minutes,MATCH(March!B95,Physician_Type_Practice,0)) +SUMIF(Physician_Minutes_Practice,March!B95,Physician_Minutes_March)/INDEX(Physician_Type_Visit_Minutes,MATCH(March!B95,Physician_Type_Practice,0))</f>
        <v>0</v>
      </c>
      <c r="D95" s="43">
        <f t="shared" ref="D95" si="11">C95*INDEX(Physician_Type_Visit_Minutes,MATCH(B95,Physician_Type_Practice,0))/INDEX(Physician_Type_FTE_Minutes,MATCH(B95,Physician_Type_Practice,0))</f>
        <v>0</v>
      </c>
      <c r="E95" s="17">
        <f>INDEX(Physician_Type_Bed_Rate,MATCH(March!B95,Physician_Type_Practice,0))*'Hospital Input Page'!$C$4</f>
        <v>2336.1329894581445</v>
      </c>
      <c r="F95" s="9">
        <f t="shared" ref="F95" si="12">D95*E95</f>
        <v>0</v>
      </c>
      <c r="H95" s="5">
        <f t="array" ref="H95">SUMIFS(Physician_Visit_March, Physician_Visit_Practice, March!B95, Independent_Contractor_Visits,  'Physician Types'!$D$81) + SUMIFS(Physician_Minutes_March,Physician_Minutes_Practice,March!B95, Independent_Contractor_Minutes, 'Physician Types'!$D$81)/INDEX(Physician_Type_Visit_Minutes,MATCH(March!B95,Physician_Type_Practice,0))</f>
        <v>0</v>
      </c>
      <c r="I95" s="43">
        <f t="shared" ref="I95" si="13">H95*INDEX(Physician_Type_Visit_Minutes,MATCH(B95,Physician_Type_Practice,0))/INDEX(Physician_Type_FTE_Minutes,MATCH(B95,Physician_Type_Practice,0))</f>
        <v>0</v>
      </c>
      <c r="J95" s="10">
        <f>E95*'Physician Types'!$E$4</f>
        <v>70.083989683744335</v>
      </c>
      <c r="K95" s="10">
        <f t="shared" ref="K95" si="14">I95*J95</f>
        <v>0</v>
      </c>
    </row>
    <row r="96" spans="1:11" x14ac:dyDescent="0.2">
      <c r="A96" s="158">
        <v>2</v>
      </c>
      <c r="B96" s="107" t="s">
        <v>49</v>
      </c>
      <c r="C96" s="5">
        <f>SUMIFS(Physician_Visit_March,Physician_Visit_Practice,March!B96,Physician_Visit_Hospitalists, "&lt;&gt;"&amp;'Physician Types'!$D$81)+SUMIFS(Physician_Visit_March,Physician_Visit_Practice,March!B96,Physician_Visit_Hospitalists,'Physician Types'!$D$81)*INDEX(Physician_Type_Hospitalists_Visit_Minutes,MATCH(March!B96,Physician_Type_Practice,0))/INDEX(Physician_Type_Visit_Minutes,MATCH(March!B96,Physician_Type_Practice,0)) +SUMIF(Physician_Minutes_Practice,March!B96,Physician_Minutes_March)/INDEX(Physician_Type_Visit_Minutes,MATCH(March!B96,Physician_Type_Practice,0))</f>
        <v>0</v>
      </c>
      <c r="D96" s="43">
        <f t="shared" si="9"/>
        <v>0</v>
      </c>
      <c r="E96" s="17">
        <f>INDEX(Physician_Type_Bed_Rate,MATCH(March!B96,Physician_Type_Practice,0))*'Hospital Input Page'!$C$4</f>
        <v>1727.2161200254454</v>
      </c>
      <c r="F96" s="9">
        <f t="shared" si="7"/>
        <v>0</v>
      </c>
      <c r="H96" s="5">
        <f t="array" ref="H96">SUMIFS(Physician_Visit_March, Physician_Visit_Practice, March!B96, Independent_Contractor_Visits,  'Physician Types'!$D$81) + SUMIFS(Physician_Minutes_March,Physician_Minutes_Practice,March!B96, Independent_Contractor_Minutes, 'Physician Types'!$D$81)/INDEX(Physician_Type_Visit_Minutes,MATCH(March!B96,Physician_Type_Practice,0))</f>
        <v>0</v>
      </c>
      <c r="I96" s="43">
        <f t="shared" si="10"/>
        <v>0</v>
      </c>
      <c r="J96" s="10">
        <f>E96*'Physician Types'!$E$4</f>
        <v>51.816483600763362</v>
      </c>
      <c r="K96" s="10">
        <f t="shared" si="8"/>
        <v>0</v>
      </c>
    </row>
    <row r="97" spans="1:11" x14ac:dyDescent="0.2">
      <c r="A97" s="158">
        <v>1</v>
      </c>
      <c r="B97" s="107" t="s">
        <v>32</v>
      </c>
      <c r="C97" s="5">
        <f>SUMIFS(Physician_Visit_March,Physician_Visit_Practice,March!B97,Physician_Visit_Hospitalists, "&lt;&gt;"&amp;'Physician Types'!$D$81)+SUMIFS(Physician_Visit_March,Physician_Visit_Practice,March!B97,Physician_Visit_Hospitalists,'Physician Types'!$D$81)*INDEX(Physician_Type_Hospitalists_Visit_Minutes,MATCH(March!B97,Physician_Type_Practice,0))/INDEX(Physician_Type_Visit_Minutes,MATCH(March!B97,Physician_Type_Practice,0)) +SUMIF(Physician_Minutes_Practice,March!B97,Physician_Minutes_March)/INDEX(Physician_Type_Visit_Minutes,MATCH(March!B97,Physician_Type_Practice,0))</f>
        <v>0</v>
      </c>
      <c r="D97" s="43">
        <f t="shared" si="9"/>
        <v>0</v>
      </c>
      <c r="E97" s="17">
        <f>INDEX(Physician_Type_Bed_Rate,MATCH(March!B97,Physician_Type_Practice,0))*'Hospital Input Page'!$C$4</f>
        <v>1297.8516608100804</v>
      </c>
      <c r="F97" s="9">
        <f t="shared" si="7"/>
        <v>0</v>
      </c>
      <c r="H97" s="5">
        <f t="array" ref="H97">SUMIFS(Physician_Visit_March, Physician_Visit_Practice, March!B97, Independent_Contractor_Visits,  'Physician Types'!$D$81) + SUMIFS(Physician_Minutes_March,Physician_Minutes_Practice,March!B97, Independent_Contractor_Minutes, 'Physician Types'!$D$81)/INDEX(Physician_Type_Visit_Minutes,MATCH(March!B97,Physician_Type_Practice,0))</f>
        <v>0</v>
      </c>
      <c r="I97" s="43">
        <f t="shared" si="10"/>
        <v>0</v>
      </c>
      <c r="J97" s="10">
        <f>E97*'Physician Types'!$E$4</f>
        <v>38.935549824302413</v>
      </c>
      <c r="K97" s="10">
        <f t="shared" si="8"/>
        <v>0</v>
      </c>
    </row>
    <row r="98" spans="1:11" x14ac:dyDescent="0.2">
      <c r="A98" s="158"/>
      <c r="B98" s="102" t="s">
        <v>20</v>
      </c>
      <c r="C98" s="5">
        <f>SUMIFS(Physician_Visit_March,Physician_Visit_Practice,March!B98,Physician_Visit_Hospitalists, "&lt;&gt;"&amp;'Physician Types'!$D$81)+SUMIFS(Physician_Visit_March,Physician_Visit_Practice,March!B98,Physician_Visit_Hospitalists,'Physician Types'!$D$81)*INDEX(Physician_Type_Hospitalists_Visit_Minutes,MATCH(March!B98,Physician_Type_Practice,0))/INDEX(Physician_Type_Visit_Minutes,MATCH(March!B98,Physician_Type_Practice,0)) +SUMIF(Physician_Minutes_Practice,March!B98,Physician_Minutes_March)/INDEX(Physician_Type_Visit_Minutes,MATCH(March!B98,Physician_Type_Practice,0))</f>
        <v>509</v>
      </c>
      <c r="D98" s="43">
        <f t="shared" si="9"/>
        <v>0.97886497817265705</v>
      </c>
      <c r="E98" s="17">
        <f>INDEX(Physician_Type_Bed_Rate,MATCH(March!B98,Physician_Type_Practice,0))*'Hospital Input Page'!$C$4</f>
        <v>493.76912809766964</v>
      </c>
      <c r="F98" s="9">
        <f t="shared" si="7"/>
        <v>483.33330679765731</v>
      </c>
      <c r="H98" s="5">
        <f t="array" ref="H98">SUMIFS(Physician_Visit_March, Physician_Visit_Practice, March!B98, Independent_Contractor_Visits,  'Physician Types'!$D$81) + SUMIFS(Physician_Minutes_March,Physician_Minutes_Practice,March!B98, Independent_Contractor_Minutes, 'Physician Types'!$D$81)/INDEX(Physician_Type_Visit_Minutes,MATCH(March!B98,Physician_Type_Practice,0))</f>
        <v>0</v>
      </c>
      <c r="I98" s="43">
        <f t="shared" si="10"/>
        <v>0</v>
      </c>
      <c r="J98" s="10">
        <f>E98*'Physician Types'!$E$4</f>
        <v>14.813073842930088</v>
      </c>
      <c r="K98" s="10">
        <f t="shared" si="8"/>
        <v>0</v>
      </c>
    </row>
    <row r="99" spans="1:11" x14ac:dyDescent="0.2">
      <c r="A99" s="158">
        <v>1</v>
      </c>
      <c r="B99" s="107" t="s">
        <v>33</v>
      </c>
      <c r="C99" s="5">
        <f>SUMIFS(Physician_Visit_March,Physician_Visit_Practice,March!B99,Physician_Visit_Hospitalists, "&lt;&gt;"&amp;'Physician Types'!$D$81)+SUMIFS(Physician_Visit_March,Physician_Visit_Practice,March!B99,Physician_Visit_Hospitalists,'Physician Types'!$D$81)*INDEX(Physician_Type_Hospitalists_Visit_Minutes,MATCH(March!B99,Physician_Type_Practice,0))/INDEX(Physician_Type_Visit_Minutes,MATCH(March!B99,Physician_Type_Practice,0)) +SUMIF(Physician_Minutes_Practice,March!B99,Physician_Minutes_March)/INDEX(Physician_Type_Visit_Minutes,MATCH(March!B99,Physician_Type_Practice,0))</f>
        <v>0</v>
      </c>
      <c r="D99" s="43">
        <f t="shared" si="9"/>
        <v>0</v>
      </c>
      <c r="E99" s="17">
        <f>INDEX(Physician_Type_Bed_Rate,MATCH(March!B99,Physician_Type_Practice,0))*'Hospital Input Page'!$C$4</f>
        <v>1268.5768113181236</v>
      </c>
      <c r="F99" s="9">
        <f t="shared" si="7"/>
        <v>0</v>
      </c>
      <c r="H99" s="5">
        <f t="array" ref="H99">SUMIFS(Physician_Visit_March, Physician_Visit_Practice, March!B99, Independent_Contractor_Visits,  'Physician Types'!$D$81) + SUMIFS(Physician_Minutes_March,Physician_Minutes_Practice,March!B99, Independent_Contractor_Minutes, 'Physician Types'!$D$81)/INDEX(Physician_Type_Visit_Minutes,MATCH(March!B99,Physician_Type_Practice,0))</f>
        <v>0</v>
      </c>
      <c r="I99" s="43">
        <f t="shared" si="10"/>
        <v>0</v>
      </c>
      <c r="J99" s="10">
        <f>E99*'Physician Types'!$E$4</f>
        <v>38.057304339543705</v>
      </c>
      <c r="K99" s="10">
        <f t="shared" si="8"/>
        <v>0</v>
      </c>
    </row>
    <row r="100" spans="1:11" x14ac:dyDescent="0.2">
      <c r="A100" s="158">
        <v>2</v>
      </c>
      <c r="B100" s="107" t="s">
        <v>50</v>
      </c>
      <c r="C100" s="5">
        <f>SUMIFS(Physician_Visit_March,Physician_Visit_Practice,March!B100,Physician_Visit_Hospitalists, "&lt;&gt;"&amp;'Physician Types'!$D$81)+SUMIFS(Physician_Visit_March,Physician_Visit_Practice,March!B100,Physician_Visit_Hospitalists,'Physician Types'!$D$81)*INDEX(Physician_Type_Hospitalists_Visit_Minutes,MATCH(March!B100,Physician_Type_Practice,0))/INDEX(Physician_Type_Visit_Minutes,MATCH(March!B100,Physician_Type_Practice,0)) +SUMIF(Physician_Minutes_Practice,March!B100,Physician_Minutes_March)/INDEX(Physician_Type_Visit_Minutes,MATCH(March!B100,Physician_Type_Practice,0))</f>
        <v>0</v>
      </c>
      <c r="D100" s="43">
        <f t="shared" si="9"/>
        <v>0</v>
      </c>
      <c r="E100" s="17">
        <f>INDEX(Physician_Type_Bed_Rate,MATCH(March!B100,Physician_Type_Practice,0))*'Hospital Input Page'!$C$4</f>
        <v>2529.3469961050587</v>
      </c>
      <c r="F100" s="9">
        <f t="shared" si="7"/>
        <v>0</v>
      </c>
      <c r="H100" s="5">
        <f t="array" ref="H100">SUMIFS(Physician_Visit_March, Physician_Visit_Practice, March!B100, Independent_Contractor_Visits,  'Physician Types'!$D$81) + SUMIFS(Physician_Minutes_March,Physician_Minutes_Practice,March!B100, Independent_Contractor_Minutes, 'Physician Types'!$D$81)/INDEX(Physician_Type_Visit_Minutes,MATCH(March!B100,Physician_Type_Practice,0))</f>
        <v>0</v>
      </c>
      <c r="I100" s="43">
        <f t="shared" si="10"/>
        <v>0</v>
      </c>
      <c r="J100" s="10">
        <f>E100*'Physician Types'!$E$4</f>
        <v>75.880409883151756</v>
      </c>
      <c r="K100" s="10">
        <f t="shared" si="8"/>
        <v>0</v>
      </c>
    </row>
    <row r="101" spans="1:11" x14ac:dyDescent="0.2">
      <c r="A101" s="158">
        <v>2</v>
      </c>
      <c r="B101" s="107" t="s">
        <v>51</v>
      </c>
      <c r="C101" s="5">
        <f>SUMIFS(Physician_Visit_March,Physician_Visit_Practice,March!B101,Physician_Visit_Hospitalists, "&lt;&gt;"&amp;'Physician Types'!$D$81)+SUMIFS(Physician_Visit_March,Physician_Visit_Practice,March!B101,Physician_Visit_Hospitalists,'Physician Types'!$D$81)*INDEX(Physician_Type_Hospitalists_Visit_Minutes,MATCH(March!B101,Physician_Type_Practice,0))/INDEX(Physician_Type_Visit_Minutes,MATCH(March!B101,Physician_Type_Practice,0)) +SUMIF(Physician_Minutes_Practice,March!B101,Physician_Minutes_March)/INDEX(Physician_Type_Visit_Minutes,MATCH(March!B101,Physician_Type_Practice,0))</f>
        <v>0</v>
      </c>
      <c r="D101" s="43">
        <f t="shared" si="9"/>
        <v>0</v>
      </c>
      <c r="E101" s="17">
        <f>INDEX(Physician_Type_Bed_Rate,MATCH(March!B101,Physician_Type_Practice,0))*'Hospital Input Page'!$C$4</f>
        <v>1887.2519639148086</v>
      </c>
      <c r="F101" s="9">
        <f t="shared" si="7"/>
        <v>0</v>
      </c>
      <c r="H101" s="5">
        <f t="array" ref="H101">SUMIFS(Physician_Visit_March, Physician_Visit_Practice, March!B101, Independent_Contractor_Visits,  'Physician Types'!$D$81) + SUMIFS(Physician_Minutes_March,Physician_Minutes_Practice,March!B101, Independent_Contractor_Minutes, 'Physician Types'!$D$81)/INDEX(Physician_Type_Visit_Minutes,MATCH(March!B101,Physician_Type_Practice,0))</f>
        <v>0</v>
      </c>
      <c r="I101" s="43">
        <f t="shared" si="10"/>
        <v>0</v>
      </c>
      <c r="J101" s="10">
        <f>E101*'Physician Types'!$E$4</f>
        <v>56.617558917444256</v>
      </c>
      <c r="K101" s="10">
        <f t="shared" si="8"/>
        <v>0</v>
      </c>
    </row>
    <row r="102" spans="1:11" x14ac:dyDescent="0.2">
      <c r="A102" s="158">
        <v>2</v>
      </c>
      <c r="B102" s="107" t="s">
        <v>52</v>
      </c>
      <c r="C102" s="5">
        <f>SUMIFS(Physician_Visit_March,Physician_Visit_Practice,March!B102,Physician_Visit_Hospitalists, "&lt;&gt;"&amp;'Physician Types'!$D$81)+SUMIFS(Physician_Visit_March,Physician_Visit_Practice,March!B102,Physician_Visit_Hospitalists,'Physician Types'!$D$81)*INDEX(Physician_Type_Hospitalists_Visit_Minutes,MATCH(March!B102,Physician_Type_Practice,0))/INDEX(Physician_Type_Visit_Minutes,MATCH(March!B102,Physician_Type_Practice,0)) +SUMIF(Physician_Minutes_Practice,March!B102,Physician_Minutes_March)/INDEX(Physician_Type_Visit_Minutes,MATCH(March!B102,Physician_Type_Practice,0))</f>
        <v>0</v>
      </c>
      <c r="D102" s="43">
        <f t="shared" si="9"/>
        <v>0</v>
      </c>
      <c r="E102" s="17">
        <f>INDEX(Physician_Type_Bed_Rate,MATCH(March!B102,Physician_Type_Practice,0))*'Hospital Input Page'!$C$4</f>
        <v>2088.2725970929114</v>
      </c>
      <c r="F102" s="9">
        <f t="shared" si="7"/>
        <v>0</v>
      </c>
      <c r="H102" s="5">
        <f t="array" ref="H102">SUMIFS(Physician_Visit_March, Physician_Visit_Practice, March!B102, Independent_Contractor_Visits,  'Physician Types'!$D$81) + SUMIFS(Physician_Minutes_March,Physician_Minutes_Practice,March!B102, Independent_Contractor_Minutes, 'Physician Types'!$D$81)/INDEX(Physician_Type_Visit_Minutes,MATCH(March!B102,Physician_Type_Practice,0))</f>
        <v>0</v>
      </c>
      <c r="I102" s="43">
        <f t="shared" si="10"/>
        <v>0</v>
      </c>
      <c r="J102" s="10">
        <f>E102*'Physician Types'!$E$4</f>
        <v>62.648177912787339</v>
      </c>
      <c r="K102" s="10">
        <f t="shared" si="8"/>
        <v>0</v>
      </c>
    </row>
    <row r="103" spans="1:11" x14ac:dyDescent="0.2">
      <c r="A103" s="158">
        <v>4</v>
      </c>
      <c r="B103" s="107" t="s">
        <v>52</v>
      </c>
      <c r="C103" s="5">
        <f>SUMIFS(Physician_Visit_March,Physician_Visit_Practice,March!B103,Physician_Visit_Hospitalists, "&lt;&gt;"&amp;'Physician Types'!$D$81)+SUMIFS(Physician_Visit_March,Physician_Visit_Practice,March!B103,Physician_Visit_Hospitalists,'Physician Types'!$D$81)*INDEX(Physician_Type_Hospitalists_Visit_Minutes,MATCH(March!B103,Physician_Type_Practice,0))/INDEX(Physician_Type_Visit_Minutes,MATCH(March!B103,Physician_Type_Practice,0)) +SUMIF(Physician_Minutes_Practice,March!B103,Physician_Minutes_March)/INDEX(Physician_Type_Visit_Minutes,MATCH(March!B103,Physician_Type_Practice,0))</f>
        <v>0</v>
      </c>
      <c r="D103" s="43">
        <f t="shared" si="9"/>
        <v>0</v>
      </c>
      <c r="E103" s="17">
        <f>INDEX(Physician_Type_Bed_Rate,MATCH(March!B103,Physician_Type_Practice,0))*'Hospital Input Page'!$C$4</f>
        <v>2088.2725970929114</v>
      </c>
      <c r="F103" s="9">
        <f t="shared" si="7"/>
        <v>0</v>
      </c>
      <c r="H103" s="5">
        <f t="array" ref="H103">SUMIFS(Physician_Visit_March, Physician_Visit_Practice, March!B103, Independent_Contractor_Visits,  'Physician Types'!$D$81) + SUMIFS(Physician_Minutes_March,Physician_Minutes_Practice,March!B103, Independent_Contractor_Minutes, 'Physician Types'!$D$81)/INDEX(Physician_Type_Visit_Minutes,MATCH(March!B103,Physician_Type_Practice,0))</f>
        <v>0</v>
      </c>
      <c r="I103" s="43">
        <f t="shared" si="10"/>
        <v>0</v>
      </c>
      <c r="J103" s="10">
        <f>E103*'Physician Types'!$E$4</f>
        <v>62.648177912787339</v>
      </c>
      <c r="K103" s="10">
        <f t="shared" si="8"/>
        <v>0</v>
      </c>
    </row>
    <row r="104" spans="1:11" x14ac:dyDescent="0.2">
      <c r="A104" s="158">
        <v>5</v>
      </c>
      <c r="B104" s="102" t="s">
        <v>68</v>
      </c>
      <c r="C104" s="5">
        <f>SUMIFS(Physician_Visit_March,Physician_Visit_Practice,March!B104,Physician_Visit_Hospitalists, "&lt;&gt;"&amp;'Physician Types'!$D$81)+SUMIFS(Physician_Visit_March,Physician_Visit_Practice,March!B104,Physician_Visit_Hospitalists,'Physician Types'!$D$81)*INDEX(Physician_Type_Hospitalists_Visit_Minutes,MATCH(March!B104,Physician_Type_Practice,0))/INDEX(Physician_Type_Visit_Minutes,MATCH(March!B104,Physician_Type_Practice,0)) +SUMIF(Physician_Minutes_Practice,March!B104,Physician_Minutes_March)/INDEX(Physician_Type_Visit_Minutes,MATCH(March!B104,Physician_Type_Practice,0))</f>
        <v>0</v>
      </c>
      <c r="D104" s="43">
        <f t="shared" si="9"/>
        <v>0</v>
      </c>
      <c r="E104" s="17">
        <f>INDEX(Physician_Type_Bed_Rate,MATCH(March!B104,Physician_Type_Practice,0))*'Hospital Input Page'!$C$4</f>
        <v>2708.8994063223927</v>
      </c>
      <c r="F104" s="9">
        <f t="shared" si="7"/>
        <v>0</v>
      </c>
      <c r="H104" s="5">
        <f t="array" ref="H104">SUMIFS(Physician_Visit_March, Physician_Visit_Practice, March!B104, Independent_Contractor_Visits,  'Physician Types'!$D$81) + SUMIFS(Physician_Minutes_March,Physician_Minutes_Practice,March!B104, Independent_Contractor_Minutes, 'Physician Types'!$D$81)/INDEX(Physician_Type_Visit_Minutes,MATCH(March!B104,Physician_Type_Practice,0))</f>
        <v>0</v>
      </c>
      <c r="I104" s="43">
        <f t="shared" si="10"/>
        <v>0</v>
      </c>
      <c r="J104" s="10">
        <f>E104*'Physician Types'!$E$4</f>
        <v>81.266982189671779</v>
      </c>
      <c r="K104" s="10">
        <f t="shared" si="8"/>
        <v>0</v>
      </c>
    </row>
    <row r="105" spans="1:11" x14ac:dyDescent="0.2">
      <c r="A105" s="158">
        <v>2</v>
      </c>
      <c r="B105" s="107" t="s">
        <v>53</v>
      </c>
      <c r="C105" s="5">
        <f>SUMIFS(Physician_Visit_March,Physician_Visit_Practice,March!B105,Physician_Visit_Hospitalists, "&lt;&gt;"&amp;'Physician Types'!$D$81)+SUMIFS(Physician_Visit_March,Physician_Visit_Practice,March!B105,Physician_Visit_Hospitalists,'Physician Types'!$D$81)*INDEX(Physician_Type_Hospitalists_Visit_Minutes,MATCH(March!B105,Physician_Type_Practice,0))/INDEX(Physician_Type_Visit_Minutes,MATCH(March!B105,Physician_Type_Practice,0)) +SUMIF(Physician_Minutes_Practice,March!B105,Physician_Minutes_March)/INDEX(Physician_Type_Visit_Minutes,MATCH(March!B105,Physician_Type_Practice,0))</f>
        <v>0</v>
      </c>
      <c r="D105" s="43">
        <f t="shared" si="9"/>
        <v>0</v>
      </c>
      <c r="E105" s="17">
        <f>INDEX(Physician_Type_Bed_Rate,MATCH(March!B105,Physician_Type_Practice,0))*'Hospital Input Page'!$C$4</f>
        <v>1619.8750052216039</v>
      </c>
      <c r="F105" s="9">
        <f t="shared" si="7"/>
        <v>0</v>
      </c>
      <c r="H105" s="5">
        <f t="array" ref="H105">SUMIFS(Physician_Visit_March, Physician_Visit_Practice, March!B105, Independent_Contractor_Visits,  'Physician Types'!$D$81) + SUMIFS(Physician_Minutes_March,Physician_Minutes_Practice,March!B105, Independent_Contractor_Minutes, 'Physician Types'!$D$81)/INDEX(Physician_Type_Visit_Minutes,MATCH(March!B105,Physician_Type_Practice,0))</f>
        <v>0</v>
      </c>
      <c r="I105" s="43">
        <f t="shared" si="10"/>
        <v>0</v>
      </c>
      <c r="J105" s="10">
        <f>E105*'Physician Types'!$E$4</f>
        <v>48.596250156648118</v>
      </c>
      <c r="K105" s="10">
        <f t="shared" si="8"/>
        <v>0</v>
      </c>
    </row>
    <row r="106" spans="1:11" x14ac:dyDescent="0.2">
      <c r="A106" s="158">
        <v>3</v>
      </c>
      <c r="B106" s="102" t="s">
        <v>59</v>
      </c>
      <c r="C106" s="5">
        <f>SUMIFS(Physician_Visit_March,Physician_Visit_Practice,March!B106,Physician_Visit_Hospitalists, "&lt;&gt;"&amp;'Physician Types'!$D$81)+SUMIFS(Physician_Visit_March,Physician_Visit_Practice,March!B106,Physician_Visit_Hospitalists,'Physician Types'!$D$81)*INDEX(Physician_Type_Hospitalists_Visit_Minutes,MATCH(March!B106,Physician_Type_Practice,0))/INDEX(Physician_Type_Visit_Minutes,MATCH(March!B106,Physician_Type_Practice,0)) +SUMIF(Physician_Minutes_Practice,March!B106,Physician_Minutes_March)/INDEX(Physician_Type_Visit_Minutes,MATCH(March!B106,Physician_Type_Practice,0))</f>
        <v>0</v>
      </c>
      <c r="D106" s="43">
        <f t="shared" si="9"/>
        <v>0</v>
      </c>
      <c r="E106" s="17">
        <f>INDEX(Physician_Type_Bed_Rate,MATCH(March!B106,Physician_Type_Practice,0))*'Hospital Input Page'!$C$4</f>
        <v>380.57304339543714</v>
      </c>
      <c r="F106" s="9">
        <f t="shared" si="7"/>
        <v>0</v>
      </c>
      <c r="H106" s="5">
        <f t="array" ref="H106">SUMIFS(Physician_Visit_March, Physician_Visit_Practice, March!B106, Independent_Contractor_Visits,  'Physician Types'!$D$81) + SUMIFS(Physician_Minutes_March,Physician_Minutes_Practice,March!B106, Independent_Contractor_Minutes, 'Physician Types'!$D$81)/INDEX(Physician_Type_Visit_Minutes,MATCH(March!B106,Physician_Type_Practice,0))</f>
        <v>0</v>
      </c>
      <c r="I106" s="43">
        <f t="shared" si="10"/>
        <v>0</v>
      </c>
      <c r="J106" s="10">
        <f>E106*'Physician Types'!$E$4</f>
        <v>11.417191301863113</v>
      </c>
      <c r="K106" s="10">
        <f t="shared" si="8"/>
        <v>0</v>
      </c>
    </row>
    <row r="107" spans="1:11" x14ac:dyDescent="0.2">
      <c r="A107" s="158">
        <v>7</v>
      </c>
      <c r="B107" s="102" t="s">
        <v>75</v>
      </c>
      <c r="C107" s="5">
        <f>SUMIFS(Physician_Visit_March,Physician_Visit_Practice,March!B107,Physician_Visit_Hospitalists, "&lt;&gt;"&amp;'Physician Types'!$D$81)+SUMIFS(Physician_Visit_March,Physician_Visit_Practice,March!B107,Physician_Visit_Hospitalists,'Physician Types'!$D$81)*INDEX(Physician_Type_Hospitalists_Visit_Minutes,MATCH(March!B107,Physician_Type_Practice,0))/INDEX(Physician_Type_Visit_Minutes,MATCH(March!B107,Physician_Type_Practice,0)) +SUMIF(Physician_Minutes_Practice,March!B107,Physician_Minutes_March)/INDEX(Physician_Type_Visit_Minutes,MATCH(March!B107,Physician_Type_Practice,0))</f>
        <v>0</v>
      </c>
      <c r="D107" s="43">
        <f t="shared" si="9"/>
        <v>0</v>
      </c>
      <c r="E107" s="17">
        <f>INDEX(Physician_Type_Bed_Rate,MATCH(March!B107,Physician_Type_Practice,0))*'Hospital Input Page'!$C$4</f>
        <v>7974.4690016090053</v>
      </c>
      <c r="F107" s="9">
        <f t="shared" si="7"/>
        <v>0</v>
      </c>
      <c r="H107" s="5">
        <f t="array" ref="H107">SUMIFS(Physician_Visit_March, Physician_Visit_Practice, March!B107, Independent_Contractor_Visits,  'Physician Types'!$D$81) + SUMIFS(Physician_Minutes_March,Physician_Minutes_Practice,March!B107, Independent_Contractor_Minutes, 'Physician Types'!$D$81)/INDEX(Physician_Type_Visit_Minutes,MATCH(March!B107,Physician_Type_Practice,0))</f>
        <v>0</v>
      </c>
      <c r="I107" s="43">
        <f t="shared" si="10"/>
        <v>0</v>
      </c>
      <c r="J107" s="10">
        <f>E107*'Physician Types'!$E$4</f>
        <v>239.23407004827015</v>
      </c>
      <c r="K107" s="10">
        <f t="shared" si="8"/>
        <v>0</v>
      </c>
    </row>
    <row r="108" spans="1:11" x14ac:dyDescent="0.2">
      <c r="A108" s="158">
        <v>4</v>
      </c>
      <c r="B108" s="128" t="s">
        <v>140</v>
      </c>
      <c r="C108" s="5">
        <f>SUMIFS(Physician_Visit_March,Physician_Visit_Practice,March!B108,Physician_Visit_Hospitalists, "&lt;&gt;"&amp;'Physician Types'!$D$81)+SUMIFS(Physician_Visit_March,Physician_Visit_Practice,March!B108,Physician_Visit_Hospitalists,'Physician Types'!$D$81)*INDEX(Physician_Type_Hospitalists_Visit_Minutes,MATCH(March!B108,Physician_Type_Practice,0))/INDEX(Physician_Type_Visit_Minutes,MATCH(March!B108,Physician_Type_Practice,0)) +SUMIF(Physician_Minutes_Practice,March!B108,Physician_Minutes_March)/INDEX(Physician_Type_Visit_Minutes,MATCH(March!B108,Physician_Type_Practice,0))</f>
        <v>0</v>
      </c>
      <c r="D108" s="43">
        <f t="shared" si="9"/>
        <v>0</v>
      </c>
      <c r="E108" s="17">
        <f>INDEX(Physician_Type_Bed_Rate,MATCH(March!B108,Physician_Type_Practice,0))*'Hospital Input Page'!$C$4</f>
        <v>3159.7320884985265</v>
      </c>
      <c r="F108" s="9">
        <f t="shared" si="7"/>
        <v>0</v>
      </c>
      <c r="H108" s="5">
        <f t="array" ref="H108">SUMIFS(Physician_Visit_March, Physician_Visit_Practice, March!B108, Independent_Contractor_Visits,  'Physician Types'!$D$81) + SUMIFS(Physician_Minutes_March,Physician_Minutes_Practice,March!B108, Independent_Contractor_Minutes, 'Physician Types'!$D$81)/INDEX(Physician_Type_Visit_Minutes,MATCH(March!B108,Physician_Type_Practice,0))</f>
        <v>0</v>
      </c>
      <c r="I108" s="43">
        <f t="shared" si="10"/>
        <v>0</v>
      </c>
      <c r="J108" s="10">
        <f>E108*'Physician Types'!$E$4</f>
        <v>94.791962654955796</v>
      </c>
      <c r="K108" s="10">
        <f t="shared" si="8"/>
        <v>0</v>
      </c>
    </row>
    <row r="109" spans="1:11" x14ac:dyDescent="0.2">
      <c r="A109" s="158">
        <v>7</v>
      </c>
      <c r="B109" s="102" t="s">
        <v>76</v>
      </c>
      <c r="C109" s="5">
        <f>SUMIFS(Physician_Visit_March,Physician_Visit_Practice,March!B109,Physician_Visit_Hospitalists, "&lt;&gt;"&amp;'Physician Types'!$D$81)+SUMIFS(Physician_Visit_March,Physician_Visit_Practice,March!B109,Physician_Visit_Hospitalists,'Physician Types'!$D$81)*INDEX(Physician_Type_Hospitalists_Visit_Minutes,MATCH(March!B109,Physician_Type_Practice,0))/INDEX(Physician_Type_Visit_Minutes,MATCH(March!B109,Physician_Type_Practice,0)) +SUMIF(Physician_Minutes_Practice,March!B109,Physician_Minutes_March)/INDEX(Physician_Type_Visit_Minutes,MATCH(March!B109,Physician_Type_Practice,0))</f>
        <v>0</v>
      </c>
      <c r="D109" s="43">
        <f t="shared" si="9"/>
        <v>0</v>
      </c>
      <c r="E109" s="17">
        <f>INDEX(Physician_Type_Bed_Rate,MATCH(March!B109,Physician_Type_Practice,0))*'Hospital Input Page'!$C$4</f>
        <v>7709.0436995485979</v>
      </c>
      <c r="F109" s="9">
        <f t="shared" si="7"/>
        <v>0</v>
      </c>
      <c r="H109" s="5">
        <f t="array" ref="H109">SUMIFS(Physician_Visit_March, Physician_Visit_Practice, March!B109, Independent_Contractor_Visits,  'Physician Types'!$D$81) + SUMIFS(Physician_Minutes_March,Physician_Minutes_Practice,March!B109, Independent_Contractor_Minutes, 'Physician Types'!$D$81)/INDEX(Physician_Type_Visit_Minutes,MATCH(March!B109,Physician_Type_Practice,0))</f>
        <v>0</v>
      </c>
      <c r="I109" s="43">
        <f t="shared" si="10"/>
        <v>0</v>
      </c>
      <c r="J109" s="10">
        <f>E109*'Physician Types'!$E$4</f>
        <v>231.27131098645793</v>
      </c>
      <c r="K109" s="10">
        <f t="shared" si="8"/>
        <v>0</v>
      </c>
    </row>
    <row r="110" spans="1:11" x14ac:dyDescent="0.2">
      <c r="A110" s="102"/>
      <c r="B110" s="164" t="s">
        <v>156</v>
      </c>
      <c r="C110" s="5" t="e">
        <f>SUMIFS(Physician_Visit_March,Physician_Visit_Practice,March!B110,Physician_Visit_Hospitalists, "&lt;&gt;"&amp;'Physician Types'!$D$81)+SUMIFS(Physician_Visit_March,Physician_Visit_Practice,March!B110,Physician_Visit_Hospitalists,'Physician Types'!$D$81)*INDEX(Physician_Type_Hospitalists_Visit_Minutes,MATCH(March!B110,Physician_Type_Practice,0))/INDEX(Physician_Type_Visit_Minutes,MATCH(March!B110,Physician_Type_Practice,0)) +SUMIF(Physician_Minutes_Practice,March!B110,Physician_Minutes_March)/INDEX(Physician_Type_Visit_Minutes,MATCH(March!B110,Physician_Type_Practice,0))</f>
        <v>#REF!</v>
      </c>
      <c r="D110" s="43" t="e">
        <f t="shared" si="9"/>
        <v>#REF!</v>
      </c>
      <c r="E110" s="17" t="e">
        <f>INDEX(Physician_Type_Bed_Rate,MATCH(March!B110,Physician_Type_Practice,0))*'Hospital Input Page'!$C$4</f>
        <v>#REF!</v>
      </c>
      <c r="F110" s="9" t="e">
        <f t="shared" si="7"/>
        <v>#REF!</v>
      </c>
      <c r="H110" s="5" t="e">
        <f t="array" ref="H110">SUMIFS(Physician_Visit_March, Physician_Visit_Practice, March!B110, Independent_Contractor_Visits,  'Physician Types'!$D$81) + SUMIFS(Physician_Minutes_March,Physician_Minutes_Practice,March!B110, Independent_Contractor_Minutes, 'Physician Types'!$D$81)/INDEX(Physician_Type_Visit_Minutes,MATCH(March!B110,Physician_Type_Practice,0))</f>
        <v>#REF!</v>
      </c>
      <c r="I110" s="43" t="e">
        <f t="shared" si="10"/>
        <v>#REF!</v>
      </c>
      <c r="J110" s="10" t="e">
        <f>E110*'Physician Types'!$E$4</f>
        <v>#REF!</v>
      </c>
      <c r="K110" s="10" t="e">
        <f t="shared" si="8"/>
        <v>#REF!</v>
      </c>
    </row>
    <row r="111" spans="1:11" x14ac:dyDescent="0.2">
      <c r="A111" s="102"/>
      <c r="B111" s="164" t="s">
        <v>156</v>
      </c>
      <c r="C111" s="5" t="e">
        <f>SUMIFS(Physician_Visit_March,Physician_Visit_Practice,March!B111,Physician_Visit_Hospitalists, "&lt;&gt;"&amp;'Physician Types'!$D$81)+SUMIFS(Physician_Visit_March,Physician_Visit_Practice,March!B111,Physician_Visit_Hospitalists,'Physician Types'!$D$81)*INDEX(Physician_Type_Hospitalists_Visit_Minutes,MATCH(March!B111,Physician_Type_Practice,0))/INDEX(Physician_Type_Visit_Minutes,MATCH(March!B111,Physician_Type_Practice,0)) +SUMIF(Physician_Minutes_Practice,March!B111,Physician_Minutes_March)/INDEX(Physician_Type_Visit_Minutes,MATCH(March!B111,Physician_Type_Practice,0))</f>
        <v>#REF!</v>
      </c>
      <c r="D111" s="43" t="e">
        <f t="shared" ref="D111:D112" si="15">C111*INDEX(Physician_Type_Visit_Minutes,MATCH(B111,Physician_Type_Practice,0))/INDEX(Physician_Type_FTE_Minutes,MATCH(B111,Physician_Type_Practice,0))</f>
        <v>#REF!</v>
      </c>
      <c r="E111" s="17" t="e">
        <f>INDEX(Physician_Type_Bed_Rate,MATCH(March!B111,Physician_Type_Practice,0))*'Hospital Input Page'!$C$4</f>
        <v>#REF!</v>
      </c>
      <c r="F111" s="9" t="e">
        <f t="shared" si="7"/>
        <v>#REF!</v>
      </c>
      <c r="H111" s="5" t="e">
        <f t="array" ref="H111">SUMIFS(Physician_Visit_March, Physician_Visit_Practice, March!B111, Independent_Contractor_Visits,  'Physician Types'!$D$81) + SUMIFS(Physician_Minutes_March,Physician_Minutes_Practice,March!B111, Independent_Contractor_Minutes, 'Physician Types'!$D$81)/INDEX(Physician_Type_Visit_Minutes,MATCH(March!B111,Physician_Type_Practice,0))</f>
        <v>#REF!</v>
      </c>
      <c r="I111" s="43" t="e">
        <f t="shared" ref="I111:I112" si="16">H111*INDEX(Physician_Type_Visit_Minutes,MATCH(B111,Physician_Type_Practice,0))/INDEX(Physician_Type_FTE_Minutes,MATCH(B111,Physician_Type_Practice,0))</f>
        <v>#REF!</v>
      </c>
      <c r="J111" s="10" t="e">
        <f>E111*'Physician Types'!$E$4</f>
        <v>#REF!</v>
      </c>
      <c r="K111" s="10" t="e">
        <f t="shared" si="8"/>
        <v>#REF!</v>
      </c>
    </row>
    <row r="112" spans="1:11" x14ac:dyDescent="0.2">
      <c r="A112" s="102"/>
      <c r="B112" s="164" t="s">
        <v>156</v>
      </c>
      <c r="C112" s="5" t="e">
        <f>SUMIFS(Physician_Visit_March,Physician_Visit_Practice,March!B112,Physician_Visit_Hospitalists, "&lt;&gt;"&amp;'Physician Types'!$D$81)+SUMIFS(Physician_Visit_March,Physician_Visit_Practice,March!B112,Physician_Visit_Hospitalists,'Physician Types'!$D$81)*INDEX(Physician_Type_Hospitalists_Visit_Minutes,MATCH(March!B112,Physician_Type_Practice,0))/INDEX(Physician_Type_Visit_Minutes,MATCH(March!B112,Physician_Type_Practice,0)) +SUMIF(Physician_Minutes_Practice,March!B112,Physician_Minutes_March)/INDEX(Physician_Type_Visit_Minutes,MATCH(March!B112,Physician_Type_Practice,0))</f>
        <v>#REF!</v>
      </c>
      <c r="D112" s="43" t="e">
        <f t="shared" si="15"/>
        <v>#REF!</v>
      </c>
      <c r="E112" s="17" t="e">
        <f>INDEX(Physician_Type_Bed_Rate,MATCH(March!B112,Physician_Type_Practice,0))*'Hospital Input Page'!$C$4</f>
        <v>#REF!</v>
      </c>
      <c r="F112" s="9" t="e">
        <f t="shared" ref="F112" si="17">D112*E112</f>
        <v>#REF!</v>
      </c>
      <c r="H112" s="5" t="e">
        <f t="array" ref="H112">SUMIFS(Physician_Visit_March, Physician_Visit_Practice, March!B112, Independent_Contractor_Visits,  'Physician Types'!$D$81) + SUMIFS(Physician_Minutes_March,Physician_Minutes_Practice,March!B112, Independent_Contractor_Minutes, 'Physician Types'!$D$81)/INDEX(Physician_Type_Visit_Minutes,MATCH(March!B112,Physician_Type_Practice,0))</f>
        <v>#REF!</v>
      </c>
      <c r="I112" s="43" t="e">
        <f t="shared" si="16"/>
        <v>#REF!</v>
      </c>
      <c r="J112" s="10" t="e">
        <f>E112*'Physician Types'!$E$4</f>
        <v>#REF!</v>
      </c>
      <c r="K112" s="10" t="e">
        <f t="shared" ref="K112" si="18">I112*J112</f>
        <v>#REF!</v>
      </c>
    </row>
    <row r="113" spans="1:11" x14ac:dyDescent="0.2">
      <c r="A113" s="102"/>
      <c r="B113" s="164" t="s">
        <v>156</v>
      </c>
      <c r="C113" s="5" t="e">
        <f>SUMIFS(Physician_Visit_March,Physician_Visit_Practice,March!B113,Physician_Visit_Hospitalists, "&lt;&gt;"&amp;'Physician Types'!$D$81)+SUMIFS(Physician_Visit_March,Physician_Visit_Practice,March!B113,Physician_Visit_Hospitalists,'Physician Types'!$D$81)*INDEX(Physician_Type_Hospitalists_Visit_Minutes,MATCH(March!B113,Physician_Type_Practice,0))/INDEX(Physician_Type_Visit_Minutes,MATCH(March!B113,Physician_Type_Practice,0)) +SUMIF(Physician_Minutes_Practice,March!B113,Physician_Minutes_March)/INDEX(Physician_Type_Visit_Minutes,MATCH(March!B113,Physician_Type_Practice,0))</f>
        <v>#REF!</v>
      </c>
      <c r="D113" s="43" t="e">
        <f t="shared" ref="D113:D116" si="19">C113*INDEX(Physician_Type_Visit_Minutes,MATCH(B113,Physician_Type_Practice,0))/INDEX(Physician_Type_FTE_Minutes,MATCH(B113,Physician_Type_Practice,0))</f>
        <v>#REF!</v>
      </c>
      <c r="E113" s="17" t="e">
        <f>INDEX(Physician_Type_Bed_Rate,MATCH(March!B113,Physician_Type_Practice,0))*'Hospital Input Page'!$C$4</f>
        <v>#REF!</v>
      </c>
      <c r="F113" s="9" t="e">
        <f t="shared" ref="F113:F116" si="20">D113*E113</f>
        <v>#REF!</v>
      </c>
      <c r="H113" s="5" t="e">
        <f t="array" ref="H113">SUMIFS(Physician_Visit_March, Physician_Visit_Practice, March!B113, Independent_Contractor_Visits,  'Physician Types'!$D$81) + SUMIFS(Physician_Minutes_March,Physician_Minutes_Practice,March!B113, Independent_Contractor_Minutes, 'Physician Types'!$D$81)/INDEX(Physician_Type_Visit_Minutes,MATCH(March!B113,Physician_Type_Practice,0))</f>
        <v>#REF!</v>
      </c>
      <c r="I113" s="43" t="e">
        <f t="shared" ref="I113:I116" si="21">H113*INDEX(Physician_Type_Visit_Minutes,MATCH(B113,Physician_Type_Practice,0))/INDEX(Physician_Type_FTE_Minutes,MATCH(B113,Physician_Type_Practice,0))</f>
        <v>#REF!</v>
      </c>
      <c r="J113" s="10" t="e">
        <f>E113*'Physician Types'!$E$4</f>
        <v>#REF!</v>
      </c>
      <c r="K113" s="10" t="e">
        <f t="shared" ref="K113:K116" si="22">I113*J113</f>
        <v>#REF!</v>
      </c>
    </row>
    <row r="114" spans="1:11" x14ac:dyDescent="0.2">
      <c r="A114" s="102"/>
      <c r="B114" s="164" t="s">
        <v>156</v>
      </c>
      <c r="C114" s="5" t="e">
        <f>SUMIFS(Physician_Visit_March,Physician_Visit_Practice,March!B114,Physician_Visit_Hospitalists, "&lt;&gt;"&amp;'Physician Types'!$D$81)+SUMIFS(Physician_Visit_March,Physician_Visit_Practice,March!B114,Physician_Visit_Hospitalists,'Physician Types'!$D$81)*INDEX(Physician_Type_Hospitalists_Visit_Minutes,MATCH(March!B114,Physician_Type_Practice,0))/INDEX(Physician_Type_Visit_Minutes,MATCH(March!B114,Physician_Type_Practice,0)) +SUMIF(Physician_Minutes_Practice,March!B114,Physician_Minutes_March)/INDEX(Physician_Type_Visit_Minutes,MATCH(March!B114,Physician_Type_Practice,0))</f>
        <v>#REF!</v>
      </c>
      <c r="D114" s="43" t="e">
        <f t="shared" si="19"/>
        <v>#REF!</v>
      </c>
      <c r="E114" s="17" t="e">
        <f>INDEX(Physician_Type_Bed_Rate,MATCH(March!B114,Physician_Type_Practice,0))*'Hospital Input Page'!$C$4</f>
        <v>#REF!</v>
      </c>
      <c r="F114" s="9" t="e">
        <f t="shared" si="20"/>
        <v>#REF!</v>
      </c>
      <c r="H114" s="5" t="e">
        <f t="array" ref="H114">SUMIFS(Physician_Visit_March, Physician_Visit_Practice, March!B114, Independent_Contractor_Visits,  'Physician Types'!$D$81) + SUMIFS(Physician_Minutes_March,Physician_Minutes_Practice,March!B114, Independent_Contractor_Minutes, 'Physician Types'!$D$81)/INDEX(Physician_Type_Visit_Minutes,MATCH(March!B114,Physician_Type_Practice,0))</f>
        <v>#REF!</v>
      </c>
      <c r="I114" s="43" t="e">
        <f t="shared" si="21"/>
        <v>#REF!</v>
      </c>
      <c r="J114" s="10" t="e">
        <f>E114*'Physician Types'!$E$4</f>
        <v>#REF!</v>
      </c>
      <c r="K114" s="10" t="e">
        <f t="shared" si="22"/>
        <v>#REF!</v>
      </c>
    </row>
    <row r="115" spans="1:11" x14ac:dyDescent="0.2">
      <c r="A115" s="102"/>
      <c r="B115" s="164" t="s">
        <v>156</v>
      </c>
      <c r="C115" s="5" t="e">
        <f>SUMIFS(Physician_Visit_March,Physician_Visit_Practice,March!B115,Physician_Visit_Hospitalists, "&lt;&gt;"&amp;'Physician Types'!$D$81)+SUMIFS(Physician_Visit_March,Physician_Visit_Practice,March!B115,Physician_Visit_Hospitalists,'Physician Types'!$D$81)*INDEX(Physician_Type_Hospitalists_Visit_Minutes,MATCH(March!B115,Physician_Type_Practice,0))/INDEX(Physician_Type_Visit_Minutes,MATCH(March!B115,Physician_Type_Practice,0)) +SUMIF(Physician_Minutes_Practice,March!B115,Physician_Minutes_March)/INDEX(Physician_Type_Visit_Minutes,MATCH(March!B115,Physician_Type_Practice,0))</f>
        <v>#REF!</v>
      </c>
      <c r="D115" s="43" t="e">
        <f t="shared" si="19"/>
        <v>#REF!</v>
      </c>
      <c r="E115" s="17" t="e">
        <f>INDEX(Physician_Type_Bed_Rate,MATCH(March!B115,Physician_Type_Practice,0))*'Hospital Input Page'!$C$4</f>
        <v>#REF!</v>
      </c>
      <c r="F115" s="9" t="e">
        <f t="shared" si="20"/>
        <v>#REF!</v>
      </c>
      <c r="H115" s="5" t="e">
        <f t="array" ref="H115">SUMIFS(Physician_Visit_March, Physician_Visit_Practice, March!B115, Independent_Contractor_Visits,  'Physician Types'!$D$81) + SUMIFS(Physician_Minutes_March,Physician_Minutes_Practice,March!B115, Independent_Contractor_Minutes, 'Physician Types'!$D$81)/INDEX(Physician_Type_Visit_Minutes,MATCH(March!B115,Physician_Type_Practice,0))</f>
        <v>#REF!</v>
      </c>
      <c r="I115" s="43" t="e">
        <f t="shared" si="21"/>
        <v>#REF!</v>
      </c>
      <c r="J115" s="10" t="e">
        <f>E115*'Physician Types'!$E$4</f>
        <v>#REF!</v>
      </c>
      <c r="K115" s="10" t="e">
        <f t="shared" si="22"/>
        <v>#REF!</v>
      </c>
    </row>
    <row r="116" spans="1:11" x14ac:dyDescent="0.2">
      <c r="A116" s="102"/>
      <c r="B116" s="164" t="s">
        <v>156</v>
      </c>
      <c r="C116" s="5" t="e">
        <f>SUMIFS(Physician_Visit_March,Physician_Visit_Practice,March!B116,Physician_Visit_Hospitalists, "&lt;&gt;"&amp;'Physician Types'!$D$81)+SUMIFS(Physician_Visit_March,Physician_Visit_Practice,March!B116,Physician_Visit_Hospitalists,'Physician Types'!$D$81)*INDEX(Physician_Type_Hospitalists_Visit_Minutes,MATCH(March!B116,Physician_Type_Practice,0))/INDEX(Physician_Type_Visit_Minutes,MATCH(March!B116,Physician_Type_Practice,0)) +SUMIF(Physician_Minutes_Practice,March!B116,Physician_Minutes_March)/INDEX(Physician_Type_Visit_Minutes,MATCH(March!B116,Physician_Type_Practice,0))</f>
        <v>#REF!</v>
      </c>
      <c r="D116" s="43" t="e">
        <f t="shared" si="19"/>
        <v>#REF!</v>
      </c>
      <c r="E116" s="17" t="e">
        <f>INDEX(Physician_Type_Bed_Rate,MATCH(March!B116,Physician_Type_Practice,0))*'Hospital Input Page'!$C$4</f>
        <v>#REF!</v>
      </c>
      <c r="F116" s="9" t="e">
        <f t="shared" si="20"/>
        <v>#REF!</v>
      </c>
      <c r="H116" s="5" t="e">
        <f t="array" ref="H116">SUMIFS(Physician_Visit_March, Physician_Visit_Practice, March!B116, Independent_Contractor_Visits,  'Physician Types'!$D$81) + SUMIFS(Physician_Minutes_March,Physician_Minutes_Practice,March!B116, Independent_Contractor_Minutes, 'Physician Types'!$D$81)/INDEX(Physician_Type_Visit_Minutes,MATCH(March!B116,Physician_Type_Practice,0))</f>
        <v>#REF!</v>
      </c>
      <c r="I116" s="43" t="e">
        <f t="shared" si="21"/>
        <v>#REF!</v>
      </c>
      <c r="J116" s="10" t="e">
        <f>E116*'Physician Types'!$E$4</f>
        <v>#REF!</v>
      </c>
      <c r="K116" s="10" t="e">
        <f t="shared" si="22"/>
        <v>#REF!</v>
      </c>
    </row>
    <row r="119" spans="1:11" x14ac:dyDescent="0.2">
      <c r="B119" s="46" t="s">
        <v>106</v>
      </c>
      <c r="C119" s="149"/>
      <c r="D119" s="150"/>
      <c r="E119" s="151"/>
      <c r="F119" s="48">
        <f>SUMIF(F46:F116,"&lt;&gt;#REF!",F46:F116)</f>
        <v>2672.7499318218597</v>
      </c>
      <c r="G119" s="46"/>
      <c r="H119" s="46"/>
      <c r="I119" s="46"/>
      <c r="J119" s="46"/>
      <c r="K119" s="48">
        <f>SUMIF(K46:K116,"&lt;&gt;#REF!",K46:K116)</f>
        <v>0</v>
      </c>
    </row>
  </sheetData>
  <sheetProtection algorithmName="SHA-512" hashValue="DmWSQHsi7DZv044eWvq61tDcnpzWPUDYnpRKTNOv5LLfSmqGzFUdXPTqL9RQPlmWli7Q4lJ+uVGXbnAqJwcIhg==" saltValue="/Cg0QJsrfxOXG2sFLezovQ==" spinCount="100000" sheet="1" objects="1" scenarios="1"/>
  <customSheetViews>
    <customSheetView guid="{4B7E793F-FF7C-4BA4-8EC7-9B719AA3D607}" fitToPage="1">
      <selection activeCell="B7" sqref="B7:C7"/>
      <pageMargins left="0.5" right="0.5" top="0.5" bottom="0.5" header="0.5" footer="0.5"/>
      <printOptions gridLines="1"/>
      <pageSetup scale="97" orientation="portrait" r:id="rId1"/>
      <headerFooter alignWithMargins="0"/>
    </customSheetView>
  </customSheetViews>
  <phoneticPr fontId="8" type="noConversion"/>
  <printOptions headings="1"/>
  <pageMargins left="0.5" right="0.5" top="0.5" bottom="0.5" header="0.5" footer="0.5"/>
  <pageSetup scale="94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66</vt:i4>
      </vt:variant>
    </vt:vector>
  </HeadingPairs>
  <TitlesOfParts>
    <vt:vector size="84" baseType="lpstr">
      <vt:lpstr>July</vt:lpstr>
      <vt:lpstr>August</vt:lpstr>
      <vt:lpstr>September</vt:lpstr>
      <vt:lpstr>October</vt:lpstr>
      <vt:lpstr>November</vt:lpstr>
      <vt:lpstr>December</vt:lpstr>
      <vt:lpstr>January</vt:lpstr>
      <vt:lpstr>February</vt:lpstr>
      <vt:lpstr>March</vt:lpstr>
      <vt:lpstr>April</vt:lpstr>
      <vt:lpstr>May</vt:lpstr>
      <vt:lpstr>June</vt:lpstr>
      <vt:lpstr>Cumulative</vt:lpstr>
      <vt:lpstr>Hospital Input Page</vt:lpstr>
      <vt:lpstr>Physician Visits Input Page</vt:lpstr>
      <vt:lpstr>Physician Minutes Input Page</vt:lpstr>
      <vt:lpstr>Hospital Relative Exp</vt:lpstr>
      <vt:lpstr>Physician Types</vt:lpstr>
      <vt:lpstr>Hospital_Exposure_April</vt:lpstr>
      <vt:lpstr>Hospital_Exposure_August</vt:lpstr>
      <vt:lpstr>Hospital_Exposure_December</vt:lpstr>
      <vt:lpstr>Hospital_Exposure_February</vt:lpstr>
      <vt:lpstr>Hospital_Exposure_January</vt:lpstr>
      <vt:lpstr>Hospital_Exposure_July</vt:lpstr>
      <vt:lpstr>Hospital_Exposure_June</vt:lpstr>
      <vt:lpstr>Hospital_Exposure_March</vt:lpstr>
      <vt:lpstr>Hospital_Exposure_May</vt:lpstr>
      <vt:lpstr>Hospital_Exposure_Name</vt:lpstr>
      <vt:lpstr>Hospital_Exposure_November</vt:lpstr>
      <vt:lpstr>Hospital_Exposure_October</vt:lpstr>
      <vt:lpstr>Hospital_Exposure_Rate</vt:lpstr>
      <vt:lpstr>Hospital_Exposure_September</vt:lpstr>
      <vt:lpstr>Independent_Contractor_Minutes</vt:lpstr>
      <vt:lpstr>Independent_Contractor_Visits</vt:lpstr>
      <vt:lpstr>Physician_Minutes_April</vt:lpstr>
      <vt:lpstr>Physician_Minutes_August</vt:lpstr>
      <vt:lpstr>Physician_Minutes_December</vt:lpstr>
      <vt:lpstr>Physician_Minutes_February</vt:lpstr>
      <vt:lpstr>Physician_Minutes_Ind_Contract</vt:lpstr>
      <vt:lpstr>Physician_Minutes_January</vt:lpstr>
      <vt:lpstr>Physician_Minutes_July</vt:lpstr>
      <vt:lpstr>Physician_Minutes_June</vt:lpstr>
      <vt:lpstr>Physician_Minutes_March</vt:lpstr>
      <vt:lpstr>Physician_Minutes_May</vt:lpstr>
      <vt:lpstr>Physician_Minutes_Name</vt:lpstr>
      <vt:lpstr>Physician_Minutes_November</vt:lpstr>
      <vt:lpstr>Physician_Minutes_October</vt:lpstr>
      <vt:lpstr>Physician_Minutes_Practice</vt:lpstr>
      <vt:lpstr>Physician_Minutes_September</vt:lpstr>
      <vt:lpstr>Physician_Type_Bed_Rate</vt:lpstr>
      <vt:lpstr>Physician_Type_FTE_Minutes</vt:lpstr>
      <vt:lpstr>Physician_Type_Hospitalists_Visit_Minutes</vt:lpstr>
      <vt:lpstr>Physician_Type_Practice</vt:lpstr>
      <vt:lpstr>Physician_Type_Visit_Minutes</vt:lpstr>
      <vt:lpstr>Physician_Visit_April</vt:lpstr>
      <vt:lpstr>Physician_Visit_August</vt:lpstr>
      <vt:lpstr>Physician_Visit_December</vt:lpstr>
      <vt:lpstr>Physician_Visit_February</vt:lpstr>
      <vt:lpstr>Physician_Visit_Hospitalists</vt:lpstr>
      <vt:lpstr>Physician_Visit_Ind_Contract</vt:lpstr>
      <vt:lpstr>Physician_Visit_January</vt:lpstr>
      <vt:lpstr>Physician_Visit_July</vt:lpstr>
      <vt:lpstr>Physician_Visit_June</vt:lpstr>
      <vt:lpstr>Physician_Visit_March</vt:lpstr>
      <vt:lpstr>Physician_Visit_May</vt:lpstr>
      <vt:lpstr>Physician_Visit_Name</vt:lpstr>
      <vt:lpstr>Physician_Visit_November</vt:lpstr>
      <vt:lpstr>Physician_Visit_October</vt:lpstr>
      <vt:lpstr>Physician_Visit_Practice</vt:lpstr>
      <vt:lpstr>Physician_Visit_September</vt:lpstr>
      <vt:lpstr>Phyusician_Visit_September</vt:lpstr>
      <vt:lpstr>April!Print_Area</vt:lpstr>
      <vt:lpstr>August!Print_Area</vt:lpstr>
      <vt:lpstr>Cumulative!Print_Area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</vt:vector>
  </TitlesOfParts>
  <Company>Robert F. Driver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F. Driver</dc:creator>
  <cp:lastModifiedBy>todd</cp:lastModifiedBy>
  <cp:lastPrinted>2020-07-16T21:05:41Z</cp:lastPrinted>
  <dcterms:created xsi:type="dcterms:W3CDTF">2004-06-30T18:39:42Z</dcterms:created>
  <dcterms:modified xsi:type="dcterms:W3CDTF">2021-05-14T18:35:39Z</dcterms:modified>
</cp:coreProperties>
</file>